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2370" windowWidth="15570" windowHeight="2385" tabRatio="851" activeTab="9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externalReferences>
    <externalReference r:id="rId11"/>
    <externalReference r:id="rId12"/>
    <externalReference r:id="rId13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Коефициенти!$A$1:$F$60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45621"/>
</workbook>
</file>

<file path=xl/calcChain.xml><?xml version="1.0" encoding="utf-8"?>
<calcChain xmlns="http://schemas.openxmlformats.org/spreadsheetml/2006/main">
  <c r="H78" i="21" l="1"/>
  <c r="G78" i="21"/>
  <c r="H31" i="21"/>
  <c r="G31" i="21"/>
  <c r="H20" i="21"/>
  <c r="G19" i="21"/>
  <c r="G64" i="21"/>
  <c r="I64" i="21" s="1"/>
  <c r="G65" i="21"/>
  <c r="I65" i="21" s="1"/>
  <c r="G66" i="21"/>
  <c r="G67" i="21"/>
  <c r="I67" i="21" s="1"/>
  <c r="H62" i="21"/>
  <c r="H61" i="21" s="1"/>
  <c r="I66" i="21"/>
  <c r="G68" i="21"/>
  <c r="I68" i="21" s="1"/>
  <c r="G70" i="21"/>
  <c r="I70" i="21" s="1"/>
  <c r="G71" i="21"/>
  <c r="I71" i="21" s="1"/>
  <c r="G72" i="21"/>
  <c r="I72" i="21" s="1"/>
  <c r="G73" i="21"/>
  <c r="I73" i="21" s="1"/>
  <c r="G74" i="21"/>
  <c r="I74" i="21" s="1"/>
  <c r="I75" i="21"/>
  <c r="I76" i="21"/>
  <c r="I77" i="21"/>
  <c r="G85" i="21"/>
  <c r="I85" i="21" s="1"/>
  <c r="I78" i="21" l="1"/>
  <c r="G69" i="21"/>
  <c r="I69" i="21" s="1"/>
  <c r="G63" i="21"/>
  <c r="G62" i="21" l="1"/>
  <c r="I63" i="21"/>
  <c r="I62" i="21" l="1"/>
  <c r="E18" i="25" l="1"/>
  <c r="D34" i="36"/>
  <c r="E33" i="36"/>
  <c r="E32" i="36"/>
  <c r="E31" i="36"/>
  <c r="E30" i="36"/>
  <c r="E29" i="36"/>
  <c r="E28" i="36"/>
  <c r="E27" i="36"/>
  <c r="E26" i="36"/>
  <c r="E25" i="36" s="1"/>
  <c r="E24" i="36" s="1"/>
  <c r="D33" i="36"/>
  <c r="D32" i="36"/>
  <c r="D31" i="36"/>
  <c r="D30" i="36"/>
  <c r="D29" i="36"/>
  <c r="D28" i="36"/>
  <c r="D27" i="36"/>
  <c r="D26" i="36"/>
  <c r="D25" i="36"/>
  <c r="D24" i="36"/>
  <c r="E37" i="25"/>
  <c r="E35" i="25"/>
  <c r="E33" i="25"/>
  <c r="E7" i="25"/>
  <c r="P11" i="34"/>
  <c r="O11" i="34"/>
  <c r="N11" i="34"/>
  <c r="M11" i="34"/>
  <c r="L11" i="34"/>
  <c r="K11" i="34"/>
  <c r="J11" i="34"/>
  <c r="I11" i="34"/>
  <c r="H11" i="34"/>
  <c r="G11" i="34"/>
  <c r="D7" i="25"/>
  <c r="E129" i="24"/>
  <c r="E6" i="24"/>
  <c r="D2" i="21"/>
  <c r="G4" i="21"/>
  <c r="G3" i="21"/>
  <c r="G2" i="21"/>
  <c r="G1" i="21" l="1"/>
  <c r="F1" i="21" s="1"/>
  <c r="E32" i="25"/>
  <c r="E12" i="25"/>
  <c r="E11" i="25" s="1"/>
  <c r="D85" i="21" l="1"/>
  <c r="F85" i="21" s="1"/>
  <c r="H18" i="21"/>
  <c r="G18" i="21"/>
  <c r="H13" i="21"/>
  <c r="G13" i="21"/>
  <c r="E18" i="21"/>
  <c r="D18" i="21"/>
  <c r="E13" i="21"/>
  <c r="D13" i="21"/>
  <c r="F39" i="29"/>
  <c r="F40" i="29" s="1"/>
  <c r="E39" i="29"/>
  <c r="E40" i="29" s="1"/>
  <c r="C52" i="34"/>
  <c r="H52" i="34"/>
  <c r="B128" i="24"/>
  <c r="F129" i="24"/>
  <c r="E57" i="25"/>
  <c r="D57" i="25"/>
  <c r="F131" i="24"/>
  <c r="E131" i="24"/>
  <c r="E32" i="44"/>
  <c r="F32" i="44"/>
  <c r="G32" i="44"/>
  <c r="H32" i="44"/>
  <c r="I32" i="44"/>
  <c r="J32" i="44"/>
  <c r="K32" i="44"/>
  <c r="L32" i="44"/>
  <c r="D32" i="44"/>
  <c r="D31" i="44"/>
  <c r="D34" i="44"/>
  <c r="D35" i="44"/>
  <c r="D15" i="44"/>
  <c r="D16" i="44"/>
  <c r="E32" i="29"/>
  <c r="F34" i="29"/>
  <c r="G51" i="29"/>
  <c r="F46" i="42"/>
  <c r="G46" i="42"/>
  <c r="H46" i="42"/>
  <c r="E46" i="42"/>
  <c r="K34" i="42"/>
  <c r="J34" i="42"/>
  <c r="D37" i="34"/>
  <c r="F35" i="42"/>
  <c r="G35" i="42"/>
  <c r="H35" i="42"/>
  <c r="E35" i="42"/>
  <c r="F34" i="42"/>
  <c r="G34" i="42"/>
  <c r="H34" i="42"/>
  <c r="E34" i="42"/>
  <c r="F47" i="42"/>
  <c r="G47" i="42"/>
  <c r="H47" i="42"/>
  <c r="E47" i="42"/>
  <c r="E23" i="42"/>
  <c r="F23" i="42"/>
  <c r="G23" i="42"/>
  <c r="H23" i="42"/>
  <c r="J23" i="42"/>
  <c r="K23" i="42"/>
  <c r="D45" i="42"/>
  <c r="D44" i="42"/>
  <c r="D43" i="42"/>
  <c r="D42" i="42"/>
  <c r="D41" i="42"/>
  <c r="D38" i="42"/>
  <c r="D37" i="42"/>
  <c r="D47" i="42"/>
  <c r="D33" i="42"/>
  <c r="D32" i="42"/>
  <c r="D31" i="42"/>
  <c r="D30" i="42"/>
  <c r="D29" i="42"/>
  <c r="D26" i="42"/>
  <c r="D25" i="42"/>
  <c r="D24" i="42"/>
  <c r="D22" i="42"/>
  <c r="D21" i="42"/>
  <c r="D20" i="42"/>
  <c r="D16" i="42"/>
  <c r="D17" i="42" s="1"/>
  <c r="E68" i="42"/>
  <c r="F68" i="42"/>
  <c r="G68" i="42"/>
  <c r="H68" i="42"/>
  <c r="I68" i="42"/>
  <c r="J68" i="42"/>
  <c r="K68" i="42"/>
  <c r="D66" i="42"/>
  <c r="D65" i="42"/>
  <c r="D64" i="42"/>
  <c r="D63" i="42"/>
  <c r="D62" i="42"/>
  <c r="D67" i="42" s="1"/>
  <c r="H27" i="42"/>
  <c r="G27" i="42"/>
  <c r="F27" i="42"/>
  <c r="K27" i="42"/>
  <c r="H19" i="42"/>
  <c r="I25" i="42"/>
  <c r="I24" i="42"/>
  <c r="I22" i="42"/>
  <c r="I21" i="42"/>
  <c r="I20" i="42"/>
  <c r="I16" i="42"/>
  <c r="I17" i="42" s="1"/>
  <c r="G51" i="34"/>
  <c r="B51" i="34"/>
  <c r="H79" i="42"/>
  <c r="C79" i="42"/>
  <c r="G78" i="42"/>
  <c r="B78" i="42"/>
  <c r="C41" i="44"/>
  <c r="H41" i="44"/>
  <c r="F23" i="34"/>
  <c r="F24" i="34" s="1"/>
  <c r="G23" i="34"/>
  <c r="G22" i="34" s="1"/>
  <c r="H23" i="34"/>
  <c r="I23" i="34"/>
  <c r="I24" i="34" s="1"/>
  <c r="J23" i="34"/>
  <c r="J22" i="34" s="1"/>
  <c r="K23" i="34"/>
  <c r="L23" i="34"/>
  <c r="L22" i="34" s="1"/>
  <c r="M23" i="34"/>
  <c r="M24" i="34" s="1"/>
  <c r="N23" i="34"/>
  <c r="N22" i="34" s="1"/>
  <c r="O23" i="34"/>
  <c r="O22" i="34" s="1"/>
  <c r="P23" i="34"/>
  <c r="P22" i="34" s="1"/>
  <c r="E23" i="34"/>
  <c r="D26" i="34"/>
  <c r="D25" i="34"/>
  <c r="A2" i="34"/>
  <c r="B2" i="44"/>
  <c r="B2" i="42"/>
  <c r="D58" i="42"/>
  <c r="D59" i="42"/>
  <c r="D68" i="42" s="1"/>
  <c r="D54" i="42"/>
  <c r="K57" i="42"/>
  <c r="J57" i="42"/>
  <c r="I57" i="42"/>
  <c r="H57" i="42"/>
  <c r="G57" i="42"/>
  <c r="F57" i="42"/>
  <c r="E57" i="42"/>
  <c r="D57" i="42"/>
  <c r="D23" i="44"/>
  <c r="A20" i="44"/>
  <c r="D25" i="44"/>
  <c r="D26" i="44"/>
  <c r="D22" i="44"/>
  <c r="A6" i="44"/>
  <c r="G40" i="44"/>
  <c r="B40" i="44"/>
  <c r="D9" i="44"/>
  <c r="D10" i="44"/>
  <c r="D8" i="44"/>
  <c r="P19" i="34"/>
  <c r="O19" i="34"/>
  <c r="N19" i="34"/>
  <c r="M19" i="34"/>
  <c r="L19" i="34"/>
  <c r="K19" i="34"/>
  <c r="J19" i="34"/>
  <c r="I19" i="34"/>
  <c r="H19" i="34"/>
  <c r="G19" i="34"/>
  <c r="F19" i="34"/>
  <c r="E19" i="34"/>
  <c r="D37" i="25"/>
  <c r="D35" i="25" s="1"/>
  <c r="D66" i="36"/>
  <c r="F66" i="36" s="1"/>
  <c r="D65" i="36"/>
  <c r="F65" i="36" s="1"/>
  <c r="H72" i="36"/>
  <c r="E46" i="36"/>
  <c r="B56" i="24"/>
  <c r="B55" i="24"/>
  <c r="B39" i="24"/>
  <c r="B38" i="24"/>
  <c r="F56" i="24"/>
  <c r="E56" i="24"/>
  <c r="D84" i="21" s="1"/>
  <c r="E62" i="21"/>
  <c r="E61" i="21" s="1"/>
  <c r="D65" i="21"/>
  <c r="F65" i="21" s="1"/>
  <c r="D66" i="21"/>
  <c r="F66" i="21" s="1"/>
  <c r="D67" i="21"/>
  <c r="F67" i="21" s="1"/>
  <c r="D68" i="21"/>
  <c r="F68" i="21" s="1"/>
  <c r="D64" i="21"/>
  <c r="F64" i="21" s="1"/>
  <c r="F11" i="24"/>
  <c r="E11" i="24"/>
  <c r="F55" i="24"/>
  <c r="G81" i="21" s="1"/>
  <c r="I81" i="21" s="1"/>
  <c r="E55" i="24"/>
  <c r="D81" i="21" s="1"/>
  <c r="F81" i="21" s="1"/>
  <c r="E38" i="24"/>
  <c r="B74" i="21"/>
  <c r="D71" i="21"/>
  <c r="F71" i="21" s="1"/>
  <c r="D72" i="21"/>
  <c r="F72" i="21" s="1"/>
  <c r="D73" i="21"/>
  <c r="F73" i="21" s="1"/>
  <c r="D74" i="21"/>
  <c r="F74" i="21" s="1"/>
  <c r="D70" i="21"/>
  <c r="F70" i="21" s="1"/>
  <c r="E32" i="24"/>
  <c r="E31" i="24" s="1"/>
  <c r="F49" i="24"/>
  <c r="F94" i="24" s="1"/>
  <c r="E49" i="24"/>
  <c r="E48" i="24" s="1"/>
  <c r="D33" i="25"/>
  <c r="E10" i="24" s="1"/>
  <c r="E29" i="24"/>
  <c r="F71" i="24"/>
  <c r="F72" i="24"/>
  <c r="F74" i="24"/>
  <c r="E71" i="24"/>
  <c r="E72" i="24"/>
  <c r="E73" i="24"/>
  <c r="E74" i="24"/>
  <c r="E70" i="24"/>
  <c r="E69" i="24" s="1"/>
  <c r="E64" i="24"/>
  <c r="E60" i="24" s="1"/>
  <c r="E61" i="24" s="1"/>
  <c r="E14" i="24"/>
  <c r="F14" i="24"/>
  <c r="A12" i="44"/>
  <c r="A28" i="44" s="1"/>
  <c r="F6" i="24"/>
  <c r="F7" i="29" s="1"/>
  <c r="E24" i="24"/>
  <c r="K19" i="42"/>
  <c r="J19" i="42"/>
  <c r="I19" i="42" s="1"/>
  <c r="J27" i="42"/>
  <c r="F19" i="42"/>
  <c r="G19" i="42"/>
  <c r="E19" i="42"/>
  <c r="D19" i="42"/>
  <c r="E27" i="42"/>
  <c r="D7" i="42"/>
  <c r="D9" i="42"/>
  <c r="D6" i="42"/>
  <c r="K10" i="42"/>
  <c r="J35" i="42"/>
  <c r="K35" i="42"/>
  <c r="E10" i="42"/>
  <c r="F10" i="42"/>
  <c r="G10" i="42"/>
  <c r="H10" i="42"/>
  <c r="I10" i="42"/>
  <c r="J10" i="42"/>
  <c r="D13" i="34"/>
  <c r="E15" i="34"/>
  <c r="F15" i="34"/>
  <c r="H15" i="34"/>
  <c r="I15" i="34"/>
  <c r="J15" i="34"/>
  <c r="K15" i="34"/>
  <c r="L15" i="34"/>
  <c r="M15" i="34"/>
  <c r="N15" i="34"/>
  <c r="O15" i="34"/>
  <c r="P15" i="34"/>
  <c r="D16" i="34"/>
  <c r="D20" i="34"/>
  <c r="D21" i="34"/>
  <c r="D31" i="34"/>
  <c r="D32" i="34"/>
  <c r="D34" i="34"/>
  <c r="D42" i="34"/>
  <c r="D45" i="34"/>
  <c r="D46" i="34"/>
  <c r="B4" i="29"/>
  <c r="E11" i="29"/>
  <c r="E14" i="29" s="1"/>
  <c r="E15" i="29" s="1"/>
  <c r="E34" i="29"/>
  <c r="A59" i="29"/>
  <c r="D59" i="29"/>
  <c r="B60" i="29"/>
  <c r="E60" i="29"/>
  <c r="B3" i="25"/>
  <c r="D12" i="25"/>
  <c r="D51" i="25"/>
  <c r="E51" i="25"/>
  <c r="D54" i="25"/>
  <c r="E54" i="25"/>
  <c r="A66" i="25"/>
  <c r="B67" i="25"/>
  <c r="D67" i="25"/>
  <c r="B84" i="24"/>
  <c r="B90" i="24"/>
  <c r="F96" i="24"/>
  <c r="E102" i="24"/>
  <c r="F102" i="24"/>
  <c r="A138" i="24"/>
  <c r="C138" i="24"/>
  <c r="B139" i="24"/>
  <c r="D139" i="24"/>
  <c r="B5" i="35"/>
  <c r="F15" i="35"/>
  <c r="F13" i="35" s="1"/>
  <c r="G15" i="35"/>
  <c r="G18" i="35" s="1"/>
  <c r="C29" i="35"/>
  <c r="E29" i="35" s="1"/>
  <c r="F29" i="35"/>
  <c r="G30" i="35"/>
  <c r="G31" i="35"/>
  <c r="G32" i="35"/>
  <c r="G33" i="35"/>
  <c r="C34" i="35"/>
  <c r="C28" i="35" s="1"/>
  <c r="F34" i="35"/>
  <c r="F28" i="35" s="1"/>
  <c r="G35" i="35"/>
  <c r="G36" i="35"/>
  <c r="G37" i="35"/>
  <c r="G38" i="35"/>
  <c r="G39" i="35"/>
  <c r="G40" i="35"/>
  <c r="G41" i="35"/>
  <c r="G42" i="35"/>
  <c r="G43" i="35"/>
  <c r="A52" i="35"/>
  <c r="E52" i="35"/>
  <c r="B54" i="35"/>
  <c r="F54" i="35"/>
  <c r="B2" i="36"/>
  <c r="D7" i="36"/>
  <c r="D64" i="36" s="1"/>
  <c r="F64" i="36" s="1"/>
  <c r="E7" i="36"/>
  <c r="E6" i="36" s="1"/>
  <c r="D67" i="36" s="1"/>
  <c r="G7" i="36"/>
  <c r="G6" i="36" s="1"/>
  <c r="H7" i="36"/>
  <c r="H6" i="36" s="1"/>
  <c r="H25" i="36"/>
  <c r="H24" i="36" s="1"/>
  <c r="E44" i="36"/>
  <c r="D45" i="36"/>
  <c r="G25" i="36"/>
  <c r="H70" i="36" s="1"/>
  <c r="I70" i="36" s="1"/>
  <c r="D47" i="36"/>
  <c r="E47" i="36"/>
  <c r="E48" i="36"/>
  <c r="D49" i="36"/>
  <c r="E49" i="36"/>
  <c r="G65" i="36"/>
  <c r="I65" i="36" s="1"/>
  <c r="E51" i="36"/>
  <c r="G68" i="36"/>
  <c r="I68" i="36" s="1"/>
  <c r="G43" i="36"/>
  <c r="G42" i="36"/>
  <c r="H43" i="36"/>
  <c r="H42" i="36"/>
  <c r="D44" i="36"/>
  <c r="E45" i="36"/>
  <c r="D48" i="36"/>
  <c r="E50" i="36"/>
  <c r="D68" i="36"/>
  <c r="F68" i="36" s="1"/>
  <c r="F70" i="36"/>
  <c r="F71" i="36"/>
  <c r="H71" i="36"/>
  <c r="F72" i="36"/>
  <c r="I72" i="36"/>
  <c r="F73" i="36"/>
  <c r="F74" i="36"/>
  <c r="H74" i="36"/>
  <c r="I74" i="36" s="1"/>
  <c r="D75" i="36"/>
  <c r="E75" i="36"/>
  <c r="E76" i="36" s="1"/>
  <c r="G81" i="36"/>
  <c r="B3" i="21"/>
  <c r="F14" i="21"/>
  <c r="I14" i="21"/>
  <c r="F15" i="21"/>
  <c r="I15" i="21"/>
  <c r="F17" i="21"/>
  <c r="I17" i="21"/>
  <c r="F19" i="21"/>
  <c r="I19" i="21"/>
  <c r="F20" i="21"/>
  <c r="I20" i="21"/>
  <c r="F22" i="21"/>
  <c r="I22" i="21"/>
  <c r="F23" i="21"/>
  <c r="I23" i="21"/>
  <c r="D24" i="21"/>
  <c r="E24" i="21"/>
  <c r="G24" i="21"/>
  <c r="H24" i="21"/>
  <c r="F25" i="21"/>
  <c r="I25" i="21"/>
  <c r="F26" i="21"/>
  <c r="I26" i="21"/>
  <c r="D27" i="21"/>
  <c r="E27" i="21"/>
  <c r="G27" i="21"/>
  <c r="H27" i="21"/>
  <c r="F28" i="21"/>
  <c r="I28" i="21"/>
  <c r="F29" i="21"/>
  <c r="I29" i="21"/>
  <c r="F30" i="21"/>
  <c r="I30" i="21"/>
  <c r="F31" i="21"/>
  <c r="I31" i="21"/>
  <c r="F32" i="21"/>
  <c r="I32" i="21"/>
  <c r="F33" i="21"/>
  <c r="I33" i="21"/>
  <c r="F34" i="21"/>
  <c r="I34" i="21"/>
  <c r="F35" i="21"/>
  <c r="I35" i="21"/>
  <c r="F36" i="21"/>
  <c r="I36" i="21"/>
  <c r="F37" i="21"/>
  <c r="I37" i="21"/>
  <c r="F38" i="21"/>
  <c r="I38" i="21"/>
  <c r="F39" i="21"/>
  <c r="I39" i="21"/>
  <c r="F40" i="21"/>
  <c r="I40" i="21"/>
  <c r="F41" i="21"/>
  <c r="I41" i="21"/>
  <c r="F42" i="21"/>
  <c r="I42" i="21"/>
  <c r="F43" i="21"/>
  <c r="I43" i="21"/>
  <c r="F44" i="21"/>
  <c r="I44" i="21"/>
  <c r="F45" i="21"/>
  <c r="I45" i="21"/>
  <c r="F46" i="21"/>
  <c r="I46" i="21"/>
  <c r="F47" i="21"/>
  <c r="I47" i="21"/>
  <c r="F48" i="21"/>
  <c r="I48" i="21"/>
  <c r="F49" i="21"/>
  <c r="I49" i="21"/>
  <c r="F50" i="21"/>
  <c r="I50" i="21"/>
  <c r="F51" i="21"/>
  <c r="I51" i="21"/>
  <c r="F58" i="21"/>
  <c r="I58" i="21"/>
  <c r="F59" i="21"/>
  <c r="I59" i="21"/>
  <c r="F60" i="21"/>
  <c r="I60" i="21"/>
  <c r="B68" i="21"/>
  <c r="F75" i="21"/>
  <c r="F76" i="21"/>
  <c r="F77" i="21"/>
  <c r="F78" i="21"/>
  <c r="F27" i="35"/>
  <c r="E50" i="25"/>
  <c r="D61" i="36"/>
  <c r="D49" i="25"/>
  <c r="D5" i="21"/>
  <c r="F48" i="24"/>
  <c r="B8" i="44"/>
  <c r="B22" i="44" s="1"/>
  <c r="D30" i="34"/>
  <c r="E22" i="34"/>
  <c r="D34" i="42"/>
  <c r="D39" i="42"/>
  <c r="E34" i="35"/>
  <c r="D46" i="36"/>
  <c r="I27" i="42"/>
  <c r="I14" i="42"/>
  <c r="M22" i="34"/>
  <c r="I22" i="34"/>
  <c r="D14" i="42"/>
  <c r="E24" i="34"/>
  <c r="I24" i="21"/>
  <c r="D11" i="21"/>
  <c r="D12" i="21" s="1"/>
  <c r="F18" i="21"/>
  <c r="G61" i="36"/>
  <c r="G27" i="35"/>
  <c r="I71" i="36"/>
  <c r="K22" i="34"/>
  <c r="K24" i="34"/>
  <c r="H22" i="34"/>
  <c r="H24" i="34"/>
  <c r="G75" i="36"/>
  <c r="P24" i="34"/>
  <c r="I18" i="21"/>
  <c r="F18" i="35"/>
  <c r="G66" i="36"/>
  <c r="I66" i="36" s="1"/>
  <c r="D51" i="36"/>
  <c r="D8" i="42"/>
  <c r="D10" i="42" s="1"/>
  <c r="D4" i="42"/>
  <c r="G24" i="34"/>
  <c r="G11" i="21"/>
  <c r="G12" i="21" s="1"/>
  <c r="I13" i="21"/>
  <c r="F13" i="21"/>
  <c r="D52" i="36"/>
  <c r="D46" i="42"/>
  <c r="D27" i="42"/>
  <c r="D37" i="44"/>
  <c r="D19" i="34"/>
  <c r="J24" i="34"/>
  <c r="D23" i="34"/>
  <c r="D22" i="34" s="1"/>
  <c r="N24" i="34"/>
  <c r="D63" i="21"/>
  <c r="F63" i="21" s="1"/>
  <c r="D69" i="21"/>
  <c r="F69" i="21" s="1"/>
  <c r="E63" i="24"/>
  <c r="D80" i="21"/>
  <c r="F57" i="24"/>
  <c r="D50" i="36"/>
  <c r="D6" i="36"/>
  <c r="G13" i="35"/>
  <c r="O24" i="34"/>
  <c r="F22" i="34"/>
  <c r="A4" i="34"/>
  <c r="K4" i="34" s="1"/>
  <c r="D50" i="25"/>
  <c r="G24" i="36"/>
  <c r="H11" i="21"/>
  <c r="E6" i="25"/>
  <c r="E28" i="25" s="1"/>
  <c r="G5" i="21"/>
  <c r="D15" i="25"/>
  <c r="G53" i="36"/>
  <c r="D32" i="25"/>
  <c r="L24" i="34"/>
  <c r="G29" i="35" l="1"/>
  <c r="G84" i="21"/>
  <c r="I84" i="21" s="1"/>
  <c r="F75" i="36"/>
  <c r="H12" i="21"/>
  <c r="I12" i="21" s="1"/>
  <c r="E17" i="25"/>
  <c r="F27" i="21"/>
  <c r="E11" i="21"/>
  <c r="D17" i="25" s="1"/>
  <c r="F24" i="21"/>
  <c r="D24" i="34"/>
  <c r="G21" i="35"/>
  <c r="F21" i="35"/>
  <c r="D43" i="36"/>
  <c r="E43" i="36"/>
  <c r="E42" i="36" s="1"/>
  <c r="D17" i="36"/>
  <c r="I27" i="21"/>
  <c r="I11" i="21"/>
  <c r="H10" i="21"/>
  <c r="E49" i="25"/>
  <c r="M4" i="34"/>
  <c r="I4" i="34"/>
  <c r="N4" i="34"/>
  <c r="P4" i="34"/>
  <c r="G4" i="34"/>
  <c r="F4" i="34"/>
  <c r="E57" i="24"/>
  <c r="F37" i="44" s="1"/>
  <c r="E37" i="44" s="1"/>
  <c r="E93" i="24"/>
  <c r="D62" i="21"/>
  <c r="F62" i="21" s="1"/>
  <c r="E21" i="29"/>
  <c r="E9" i="24"/>
  <c r="E21" i="24" s="1"/>
  <c r="D11" i="25"/>
  <c r="D79" i="21"/>
  <c r="F79" i="21" s="1"/>
  <c r="H4" i="34"/>
  <c r="E4" i="34"/>
  <c r="L4" i="34"/>
  <c r="O4" i="34"/>
  <c r="J4" i="34"/>
  <c r="F80" i="21"/>
  <c r="G67" i="36"/>
  <c r="H73" i="36"/>
  <c r="G35" i="36"/>
  <c r="E22" i="24"/>
  <c r="I34" i="42"/>
  <c r="I23" i="42"/>
  <c r="I35" i="42" s="1"/>
  <c r="G17" i="36"/>
  <c r="D69" i="36"/>
  <c r="F67" i="36"/>
  <c r="E68" i="24"/>
  <c r="E85" i="24"/>
  <c r="D18" i="25"/>
  <c r="D23" i="42"/>
  <c r="D35" i="42"/>
  <c r="D42" i="36"/>
  <c r="D53" i="36" s="1"/>
  <c r="E28" i="35"/>
  <c r="G34" i="35"/>
  <c r="N9" i="34"/>
  <c r="G28" i="35"/>
  <c r="K12" i="34"/>
  <c r="M12" i="34"/>
  <c r="O12" i="34"/>
  <c r="G12" i="34"/>
  <c r="I12" i="34"/>
  <c r="L12" i="34"/>
  <c r="L9" i="34"/>
  <c r="N12" i="34"/>
  <c r="P12" i="34"/>
  <c r="P9" i="34"/>
  <c r="F12" i="34"/>
  <c r="H12" i="34"/>
  <c r="H9" i="34"/>
  <c r="J12" i="34"/>
  <c r="F84" i="21"/>
  <c r="E10" i="21" l="1"/>
  <c r="E8" i="21" s="1"/>
  <c r="F11" i="21"/>
  <c r="E12" i="21"/>
  <c r="F12" i="21" s="1"/>
  <c r="D16" i="25"/>
  <c r="D14" i="25" s="1"/>
  <c r="E8" i="24"/>
  <c r="E27" i="29" s="1"/>
  <c r="E108" i="24" s="1"/>
  <c r="E115" i="24" s="1"/>
  <c r="G64" i="36"/>
  <c r="I64" i="36" s="1"/>
  <c r="D35" i="36"/>
  <c r="A38" i="36" s="1"/>
  <c r="E18" i="24"/>
  <c r="E46" i="24"/>
  <c r="F9" i="34"/>
  <c r="E106" i="24"/>
  <c r="D76" i="36"/>
  <c r="F69" i="36"/>
  <c r="E19" i="24"/>
  <c r="E20" i="24"/>
  <c r="E17" i="24" s="1"/>
  <c r="E47" i="24"/>
  <c r="I73" i="36"/>
  <c r="H75" i="36"/>
  <c r="I67" i="36"/>
  <c r="G69" i="36"/>
  <c r="J9" i="34"/>
  <c r="F70" i="24"/>
  <c r="A20" i="36"/>
  <c r="I9" i="34"/>
  <c r="G9" i="34"/>
  <c r="O9" i="34"/>
  <c r="M9" i="34"/>
  <c r="K9" i="34"/>
  <c r="E12" i="34"/>
  <c r="D12" i="34" s="1"/>
  <c r="D14" i="34"/>
  <c r="F10" i="24"/>
  <c r="D11" i="34"/>
  <c r="E45" i="24" l="1"/>
  <c r="E20" i="29" s="1"/>
  <c r="E19" i="29" s="1"/>
  <c r="I69" i="36"/>
  <c r="A59" i="36" s="1"/>
  <c r="G76" i="36"/>
  <c r="I75" i="36"/>
  <c r="H76" i="36"/>
  <c r="H9" i="21" s="1"/>
  <c r="E15" i="25" s="1"/>
  <c r="F76" i="36"/>
  <c r="D9" i="21"/>
  <c r="F9" i="21" s="1"/>
  <c r="G15" i="34"/>
  <c r="D15" i="34" s="1"/>
  <c r="D17" i="34"/>
  <c r="F26" i="24"/>
  <c r="F22" i="24"/>
  <c r="F19" i="24" s="1"/>
  <c r="E9" i="34"/>
  <c r="D9" i="34" s="1"/>
  <c r="D10" i="34"/>
  <c r="E58" i="24" l="1"/>
  <c r="H8" i="21"/>
  <c r="I76" i="36"/>
  <c r="G9" i="21"/>
  <c r="I9" i="21" s="1"/>
  <c r="E41" i="24"/>
  <c r="E22" i="29"/>
  <c r="E40" i="24"/>
  <c r="E113" i="24"/>
  <c r="F9" i="24"/>
  <c r="F47" i="24"/>
  <c r="E23" i="29" l="1"/>
  <c r="E24" i="29" s="1"/>
  <c r="E109" i="24" s="1"/>
  <c r="E107" i="24" s="1"/>
  <c r="E105" i="24" s="1"/>
  <c r="E110" i="24" s="1"/>
  <c r="E48" i="29"/>
  <c r="E39" i="24"/>
  <c r="F25" i="24"/>
  <c r="F8" i="24"/>
  <c r="F21" i="24"/>
  <c r="H28" i="34" l="1"/>
  <c r="H29" i="34" s="1"/>
  <c r="E118" i="24"/>
  <c r="E120" i="24"/>
  <c r="D83" i="21"/>
  <c r="D82" i="21" s="1"/>
  <c r="E94" i="24"/>
  <c r="E42" i="24"/>
  <c r="E43" i="24"/>
  <c r="H41" i="34"/>
  <c r="H43" i="34" s="1"/>
  <c r="H44" i="34" s="1"/>
  <c r="H40" i="34"/>
  <c r="E49" i="29"/>
  <c r="E50" i="29"/>
  <c r="F20" i="24"/>
  <c r="F17" i="24" s="1"/>
  <c r="F18" i="24"/>
  <c r="F46" i="24"/>
  <c r="F45" i="24" s="1"/>
  <c r="F24" i="24"/>
  <c r="E41" i="34" l="1"/>
  <c r="E43" i="34" s="1"/>
  <c r="E44" i="34" s="1"/>
  <c r="E40" i="34"/>
  <c r="E28" i="34"/>
  <c r="E29" i="34" s="1"/>
  <c r="E25" i="29"/>
  <c r="E26" i="29" s="1"/>
  <c r="E92" i="24"/>
  <c r="E91" i="24"/>
  <c r="D61" i="21"/>
  <c r="F82" i="21"/>
  <c r="E51" i="29"/>
  <c r="E53" i="29" s="1"/>
  <c r="E52" i="29" s="1"/>
  <c r="E54" i="29" s="1"/>
  <c r="K40" i="34"/>
  <c r="E119" i="24"/>
  <c r="E121" i="24" s="1"/>
  <c r="F58" i="24"/>
  <c r="K41" i="34"/>
  <c r="K43" i="34" s="1"/>
  <c r="K44" i="34" s="1"/>
  <c r="J41" i="34" l="1"/>
  <c r="J43" i="34" s="1"/>
  <c r="J44" i="34" s="1"/>
  <c r="J40" i="34"/>
  <c r="D10" i="21"/>
  <c r="E116" i="24"/>
  <c r="F61" i="21"/>
  <c r="J28" i="34"/>
  <c r="J29" i="34" s="1"/>
  <c r="G28" i="34"/>
  <c r="G41" i="34"/>
  <c r="G40" i="34"/>
  <c r="K28" i="34"/>
  <c r="K29" i="34" s="1"/>
  <c r="I28" i="34" l="1"/>
  <c r="I29" i="34" s="1"/>
  <c r="P41" i="34"/>
  <c r="P43" i="34" s="1"/>
  <c r="P44" i="34" s="1"/>
  <c r="P40" i="34"/>
  <c r="I41" i="34"/>
  <c r="I43" i="34" s="1"/>
  <c r="I44" i="34" s="1"/>
  <c r="I40" i="34"/>
  <c r="P28" i="34"/>
  <c r="P29" i="34" s="1"/>
  <c r="N28" i="34"/>
  <c r="N29" i="34" s="1"/>
  <c r="O41" i="34"/>
  <c r="O43" i="34" s="1"/>
  <c r="O44" i="34" s="1"/>
  <c r="O40" i="34"/>
  <c r="O28" i="34"/>
  <c r="O29" i="34" s="1"/>
  <c r="M41" i="34"/>
  <c r="M43" i="34" s="1"/>
  <c r="M44" i="34" s="1"/>
  <c r="M40" i="34"/>
  <c r="N41" i="34"/>
  <c r="N43" i="34" s="1"/>
  <c r="N44" i="34" s="1"/>
  <c r="N40" i="34"/>
  <c r="D8" i="21"/>
  <c r="F10" i="21"/>
  <c r="E114" i="24"/>
  <c r="M28" i="34"/>
  <c r="M29" i="34" s="1"/>
  <c r="F41" i="34"/>
  <c r="F43" i="34" s="1"/>
  <c r="F44" i="34" s="1"/>
  <c r="F40" i="34"/>
  <c r="G43" i="34"/>
  <c r="G29" i="34"/>
  <c r="F28" i="34" l="1"/>
  <c r="D38" i="34"/>
  <c r="D36" i="34"/>
  <c r="F8" i="21"/>
  <c r="E112" i="24"/>
  <c r="E111" i="24" s="1"/>
  <c r="E122" i="24"/>
  <c r="E125" i="24" s="1"/>
  <c r="D41" i="25" s="1"/>
  <c r="G44" i="34"/>
  <c r="E124" i="24" l="1"/>
  <c r="D20" i="25" s="1"/>
  <c r="D23" i="25" s="1"/>
  <c r="F106" i="24"/>
  <c r="F113" i="24" s="1"/>
  <c r="F27" i="29"/>
  <c r="F108" i="24" s="1"/>
  <c r="F115" i="24" s="1"/>
  <c r="D40" i="25"/>
  <c r="D34" i="25"/>
  <c r="D44" i="25"/>
  <c r="D45" i="25" s="1"/>
  <c r="F29" i="29"/>
  <c r="L41" i="34"/>
  <c r="D39" i="34"/>
  <c r="D40" i="34" s="1"/>
  <c r="F29" i="34"/>
  <c r="D60" i="25"/>
  <c r="E123" i="24"/>
  <c r="L40" i="34"/>
  <c r="D19" i="25" l="1"/>
  <c r="D22" i="25" s="1"/>
  <c r="D13" i="25"/>
  <c r="L28" i="34"/>
  <c r="D33" i="34"/>
  <c r="L43" i="34"/>
  <c r="D41" i="34"/>
  <c r="F11" i="29"/>
  <c r="F32" i="29"/>
  <c r="D61" i="25"/>
  <c r="D24" i="25"/>
  <c r="F13" i="29"/>
  <c r="D42" i="25"/>
  <c r="D43" i="25"/>
  <c r="D21" i="25" l="1"/>
  <c r="F14" i="29"/>
  <c r="F15" i="29" s="1"/>
  <c r="L29" i="34"/>
  <c r="D29" i="34" s="1"/>
  <c r="D28" i="34"/>
  <c r="L44" i="34"/>
  <c r="D44" i="34" s="1"/>
  <c r="D43" i="34"/>
  <c r="F32" i="24"/>
  <c r="F73" i="24"/>
  <c r="F69" i="24" s="1"/>
  <c r="F85" i="24" l="1"/>
  <c r="F68" i="24"/>
  <c r="F31" i="24"/>
  <c r="F21" i="29"/>
  <c r="F20" i="29"/>
  <c r="F22" i="29" l="1"/>
  <c r="F48" i="29" s="1"/>
  <c r="F19" i="29"/>
  <c r="F41" i="24" s="1"/>
  <c r="F40" i="24"/>
  <c r="F23" i="29" l="1"/>
  <c r="F24" i="29" s="1"/>
  <c r="F38" i="24"/>
  <c r="G80" i="21" s="1"/>
  <c r="F39" i="24"/>
  <c r="G83" i="21" s="1"/>
  <c r="F50" i="29"/>
  <c r="F51" i="29" s="1"/>
  <c r="F53" i="29" s="1"/>
  <c r="F52" i="29" s="1"/>
  <c r="F54" i="29" s="1"/>
  <c r="F49" i="29"/>
  <c r="F29" i="24"/>
  <c r="F64" i="24"/>
  <c r="I83" i="21" l="1"/>
  <c r="G82" i="21"/>
  <c r="I82" i="21" s="1"/>
  <c r="I80" i="21"/>
  <c r="G79" i="21"/>
  <c r="F93" i="24"/>
  <c r="F60" i="24"/>
  <c r="F43" i="24"/>
  <c r="F42" i="24"/>
  <c r="F109" i="24"/>
  <c r="F107" i="24" s="1"/>
  <c r="F105" i="24" s="1"/>
  <c r="F110" i="24" s="1"/>
  <c r="I79" i="21" l="1"/>
  <c r="G61" i="21"/>
  <c r="I61" i="21" s="1"/>
  <c r="F120" i="24"/>
  <c r="F118" i="24"/>
  <c r="F119" i="24"/>
  <c r="F25" i="29"/>
  <c r="F26" i="29" s="1"/>
  <c r="F92" i="24"/>
  <c r="F91" i="24"/>
  <c r="F63" i="24"/>
  <c r="F61" i="24"/>
  <c r="F121" i="24" l="1"/>
  <c r="E16" i="25" l="1"/>
  <c r="E14" i="25" s="1"/>
  <c r="G10" i="21" l="1"/>
  <c r="F116" i="24"/>
  <c r="G8" i="21" l="1"/>
  <c r="I10" i="21"/>
  <c r="F114" i="24"/>
  <c r="I8" i="21" l="1"/>
  <c r="F112" i="24"/>
  <c r="F111" i="24" s="1"/>
  <c r="F122" i="24"/>
  <c r="F124" i="24" s="1"/>
  <c r="E20" i="25" s="1"/>
  <c r="F125" i="24" l="1"/>
  <c r="E41" i="25" s="1"/>
  <c r="F123" i="24"/>
  <c r="E60" i="25"/>
  <c r="E44" i="25" l="1"/>
  <c r="E45" i="25" s="1"/>
  <c r="E40" i="25"/>
  <c r="E34" i="25"/>
  <c r="E19" i="25" l="1"/>
  <c r="E23" i="25"/>
  <c r="E13" i="25"/>
  <c r="E42" i="25"/>
  <c r="E43" i="25"/>
  <c r="E21" i="25" l="1"/>
  <c r="E22" i="25"/>
  <c r="E61" i="25"/>
  <c r="E24" i="25"/>
</calcChain>
</file>

<file path=xl/sharedStrings.xml><?xml version="1.0" encoding="utf-8"?>
<sst xmlns="http://schemas.openxmlformats.org/spreadsheetml/2006/main" count="1527" uniqueCount="788">
  <si>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</si>
  <si>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</si>
  <si>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</si>
  <si>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</si>
  <si>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</si>
  <si>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</si>
  <si>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</si>
  <si>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</si>
  <si>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</si>
  <si>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</si>
  <si>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</si>
  <si>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</si>
  <si>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</si>
  <si>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</si>
  <si>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</si>
  <si>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</si>
  <si>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</si>
  <si>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</si>
  <si>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</si>
  <si>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</si>
  <si>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</si>
  <si>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</si>
  <si>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</si>
  <si>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</si>
  <si>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</si>
  <si>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</si>
  <si>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</si>
  <si>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</si>
  <si>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</si>
  <si>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</si>
  <si>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</si>
  <si>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</si>
  <si>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</si>
  <si>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</si>
  <si>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</si>
  <si>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</si>
  <si>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</si>
  <si>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</si>
  <si>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</si>
  <si>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</si>
  <si>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</si>
  <si>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</si>
  <si>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</si>
  <si>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</si>
  <si>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</si>
  <si>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</si>
  <si>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</si>
  <si>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</si>
  <si>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</si>
  <si>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</si>
  <si>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</si>
  <si>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</si>
  <si>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</si>
  <si>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</si>
  <si>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</si>
  <si>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</si>
  <si>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</si>
  <si>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</si>
  <si>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</si>
  <si>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</si>
  <si>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</si>
  <si>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</si>
  <si>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</si>
  <si>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</si>
  <si>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</si>
  <si>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</si>
  <si>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</si>
  <si>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</si>
  <si>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</si>
  <si>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</si>
  <si>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</si>
  <si>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</si>
  <si>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</si>
  <si>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</si>
  <si>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</si>
  <si>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</si>
  <si>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</si>
  <si>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</si>
  <si>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</si>
  <si>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</si>
  <si>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</si>
  <si>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</si>
  <si>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</si>
  <si>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</si>
  <si>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</si>
  <si>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</si>
  <si>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</si>
  <si>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</si>
  <si>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</si>
  <si>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</si>
  <si>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</si>
  <si>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</si>
  <si>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</si>
  <si>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</si>
  <si>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</si>
  <si>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</si>
  <si>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</si>
  <si>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</si>
  <si>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</si>
  <si>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</si>
  <si>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</si>
  <si>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</si>
  <si>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</si>
  <si>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</si>
  <si>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</si>
  <si>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</si>
  <si>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</si>
  <si>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</si>
  <si>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</si>
  <si>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</si>
  <si>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</si>
  <si>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</si>
  <si>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</si>
  <si>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</si>
  <si>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</si>
  <si>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</si>
  <si>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</si>
  <si>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</si>
  <si>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</si>
  <si>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</si>
  <si>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</si>
  <si>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</si>
  <si>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</si>
  <si>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</si>
  <si>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</si>
  <si>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</si>
  <si>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</si>
  <si>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</si>
  <si>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</si>
  <si>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</si>
  <si>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</si>
  <si>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</si>
  <si>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</si>
  <si>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</si>
  <si>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</si>
  <si>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</si>
  <si>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</si>
  <si>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</si>
  <si>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</si>
  <si>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</si>
  <si>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</si>
  <si>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</si>
  <si>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</si>
  <si>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</si>
  <si>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</si>
  <si>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</si>
  <si>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</si>
  <si>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</si>
  <si>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</si>
  <si>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</si>
  <si>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</si>
  <si>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</si>
  <si>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</si>
  <si>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</si>
  <si>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</si>
  <si>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</si>
  <si>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</si>
  <si>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</si>
  <si>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</si>
  <si>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</si>
  <si>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</si>
  <si>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</si>
  <si>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</si>
  <si>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</si>
  <si>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</si>
  <si>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</si>
  <si>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</si>
  <si>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</si>
  <si>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</si>
  <si>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</si>
  <si>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</si>
  <si>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</si>
  <si>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</si>
  <si>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</si>
  <si>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</si>
  <si>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</si>
  <si>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</si>
  <si>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</si>
  <si>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</si>
  <si>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</si>
  <si>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</si>
  <si>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</si>
  <si>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</si>
  <si>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</si>
  <si>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</si>
  <si>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</si>
  <si>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</si>
  <si>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</si>
  <si>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</si>
  <si>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</si>
  <si>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</si>
  <si>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</si>
  <si>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</si>
  <si>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</si>
  <si>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Разходи за гориво за топлинна енергия с пара</t>
  </si>
  <si>
    <t>Разходи за гориво за топлинна енергия с гореща вода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</si>
  <si>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</si>
  <si>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</si>
  <si>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</si>
  <si>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</si>
  <si>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Разходи за гориво за електрическа енергия</t>
  </si>
  <si>
    <t>Горивна компонента в стойността на електрическата енергия</t>
  </si>
  <si>
    <t>Разходи за гориво за топлинна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</si>
  <si>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</si>
  <si>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</si>
  <si>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</si>
  <si>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</si>
  <si>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</si>
  <si>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</si>
  <si>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</si>
  <si>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</si>
  <si>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</si>
  <si>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</si>
  <si>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</si>
  <si>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</si>
  <si>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</si>
  <si>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</si>
  <si>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</si>
  <si>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</si>
  <si>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</si>
  <si>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</si>
  <si>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</si>
  <si>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</si>
  <si>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</si>
  <si>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</si>
  <si>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</si>
  <si>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</si>
  <si>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</si>
  <si>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Коефициент на разходите за топлинна енергия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</si>
  <si>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</si>
  <si>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</si>
  <si>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</si>
  <si>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</si>
  <si>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</si>
  <si>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</si>
  <si>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</si>
  <si>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</si>
  <si>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</si>
  <si>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</si>
  <si>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</si>
  <si>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</si>
  <si>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</si>
  <si>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</si>
  <si>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</si>
  <si>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</si>
  <si>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</si>
  <si>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</si>
  <si>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</si>
  <si>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</si>
  <si>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</si>
  <si>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</si>
  <si>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</si>
  <si>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</si>
  <si>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</si>
  <si>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</si>
  <si>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</si>
  <si>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</si>
  <si>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</si>
  <si>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</si>
  <si>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</si>
  <si>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Гл. счетоводител: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</si>
  <si>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</si>
  <si>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</si>
  <si>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</si>
  <si>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</si>
  <si>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</si>
  <si>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</si>
  <si>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</si>
  <si>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</si>
  <si>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</si>
  <si>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</si>
  <si>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</si>
  <si>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</si>
  <si>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</si>
  <si>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</si>
  <si>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</si>
  <si>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</si>
  <si>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</si>
  <si>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</si>
  <si>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</si>
  <si>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</si>
  <si>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</si>
  <si>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</si>
  <si>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</si>
  <si>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</si>
  <si>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</si>
  <si>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</si>
  <si>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</si>
  <si>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</si>
  <si>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</si>
  <si>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</si>
  <si>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</si>
  <si>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</si>
  <si>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</si>
  <si>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</si>
  <si>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</si>
  <si>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</si>
  <si>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</si>
  <si>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</si>
  <si>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</si>
  <si>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</si>
  <si>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</si>
  <si>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</si>
  <si>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</si>
  <si>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</si>
  <si>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</si>
  <si>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</si>
  <si>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</si>
  <si>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</si>
  <si>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</si>
  <si>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</si>
  <si>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</si>
  <si>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</si>
  <si>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</si>
  <si>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</si>
  <si>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</si>
  <si>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</si>
  <si>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</si>
  <si>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</si>
  <si>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</si>
  <si>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</si>
  <si>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</si>
  <si>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</si>
  <si>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</si>
  <si>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</si>
  <si>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</si>
  <si>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ел</t>
    </r>
  </si>
  <si>
    <t>1.1.1</t>
  </si>
  <si>
    <t>1.1.2</t>
  </si>
  <si>
    <t>1.1.3</t>
  </si>
  <si>
    <t>1.1.4</t>
  </si>
  <si>
    <r>
      <t xml:space="preserve">В </t>
    </r>
    <r>
      <rPr>
        <vertAlign val="subscript"/>
        <sz val="10"/>
        <rFont val="Times New Roman"/>
        <family val="1"/>
        <charset val="204"/>
      </rPr>
      <t>т</t>
    </r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</si>
  <si>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</si>
  <si>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</si>
  <si>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</si>
  <si>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</si>
  <si>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</si>
  <si>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</si>
  <si>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</si>
  <si>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</si>
  <si>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</si>
  <si>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</si>
  <si>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</si>
  <si>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</si>
  <si>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</si>
  <si>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</si>
  <si>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</si>
  <si>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</si>
  <si>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</si>
  <si>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</si>
  <si>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</si>
  <si>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</si>
  <si>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</si>
  <si>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</si>
  <si>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</si>
  <si>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</si>
  <si>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</si>
  <si>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</si>
  <si>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</si>
  <si>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</si>
  <si>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</si>
  <si>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</si>
  <si>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</si>
  <si>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</si>
  <si>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</si>
  <si>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</si>
  <si>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</si>
  <si>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</si>
  <si>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</si>
  <si>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</si>
  <si>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</si>
  <si>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</si>
  <si>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</si>
  <si>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</si>
  <si>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</si>
  <si>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</si>
  <si>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</si>
  <si>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</si>
  <si>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</si>
  <si>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</si>
  <si>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</si>
  <si>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</si>
  <si>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</si>
  <si>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</si>
  <si>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</si>
  <si>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</si>
  <si>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</si>
  <si>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</si>
  <si>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</si>
  <si>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</si>
  <si>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</si>
  <si>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</si>
  <si>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</si>
  <si>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</si>
  <si>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</si>
  <si>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</si>
  <si>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</si>
  <si>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</si>
  <si>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</si>
  <si>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</si>
  <si>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</si>
  <si>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</si>
  <si>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</si>
  <si>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</si>
  <si>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</si>
  <si>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</si>
  <si>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</si>
  <si>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</si>
  <si>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</si>
  <si>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</si>
  <si>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</si>
  <si>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</si>
  <si>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</si>
  <si>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</si>
  <si>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</si>
  <si>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</si>
  <si>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</si>
  <si>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</si>
  <si>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</si>
  <si>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</si>
  <si>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</si>
  <si>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</si>
  <si>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</si>
  <si>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</si>
  <si>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r>
      <t>К</t>
    </r>
    <r>
      <rPr>
        <b/>
        <vertAlign val="subscript"/>
        <sz val="9"/>
        <rFont val="Times New Roman"/>
        <family val="1"/>
        <charset val="204"/>
      </rPr>
      <t xml:space="preserve"> р</t>
    </r>
    <r>
      <rPr>
        <b/>
        <sz val="9"/>
        <rFont val="Times New Roman"/>
        <family val="1"/>
        <charset val="204"/>
      </rPr>
      <t xml:space="preserve"> 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</si>
  <si>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</si>
  <si>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</si>
  <si>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</si>
  <si>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</si>
  <si>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</si>
  <si>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</si>
  <si>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</si>
  <si>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</si>
  <si>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</si>
  <si>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</si>
  <si>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</si>
  <si>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</si>
  <si>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</si>
  <si>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</si>
  <si>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</si>
  <si>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</si>
  <si>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</si>
  <si>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</si>
  <si>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</si>
  <si>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</si>
  <si>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</si>
  <si>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</si>
  <si>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</si>
  <si>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</si>
  <si>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</si>
  <si>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</si>
  <si>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</si>
  <si>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</si>
  <si>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</si>
  <si>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</si>
  <si>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</si>
  <si>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</si>
  <si>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</si>
  <si>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</si>
  <si>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</si>
  <si>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</si>
  <si>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</si>
  <si>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</si>
  <si>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</si>
  <si>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</si>
  <si>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</si>
  <si>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</si>
  <si>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</si>
  <si>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</si>
  <si>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</si>
  <si>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</si>
  <si>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</si>
  <si>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</si>
  <si>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</si>
  <si>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</si>
  <si>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</si>
  <si>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</si>
  <si>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</si>
  <si>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</si>
  <si>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</si>
  <si>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</si>
  <si>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</si>
  <si>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</si>
  <si>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</si>
  <si>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</si>
  <si>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</si>
  <si>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</si>
  <si>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</si>
  <si>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</si>
  <si>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</si>
  <si>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</si>
  <si>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</si>
  <si>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</si>
  <si>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</si>
  <si>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</si>
  <si>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</si>
  <si>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</si>
  <si>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</si>
  <si>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</si>
  <si>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</si>
  <si>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</si>
  <si>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</si>
  <si>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</si>
  <si>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</si>
  <si>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</si>
  <si>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</si>
  <si>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</si>
  <si>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</si>
  <si>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</si>
  <si>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</si>
  <si>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</si>
  <si>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</si>
  <si>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</si>
  <si>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</si>
  <si>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</si>
  <si>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</si>
  <si>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</si>
  <si>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</si>
  <si>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</si>
  <si>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</si>
  <si>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</si>
  <si>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</si>
  <si>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</si>
  <si>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</si>
  <si>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</si>
  <si>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</si>
  <si>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</si>
  <si>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</si>
  <si>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</si>
  <si>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</si>
  <si>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</si>
  <si>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</si>
  <si>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</si>
  <si>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</si>
  <si>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</si>
  <si>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</si>
  <si>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</si>
  <si>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</si>
  <si>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</si>
  <si>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</si>
  <si>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</si>
  <si>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</si>
  <si>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</si>
  <si>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</si>
  <si>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</si>
  <si>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</si>
  <si>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</si>
  <si>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t>Q е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</si>
  <si>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</si>
  <si>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</si>
  <si>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</si>
  <si>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</si>
  <si>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</si>
  <si>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</si>
  <si>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</si>
  <si>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</si>
  <si>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</si>
  <si>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</si>
  <si>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</si>
  <si>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</si>
  <si>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</si>
  <si>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</si>
  <si>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</si>
  <si>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</si>
  <si>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</si>
  <si>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</si>
  <si>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</si>
  <si>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</si>
  <si>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</si>
  <si>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</si>
  <si>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</si>
  <si>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</si>
  <si>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</si>
  <si>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</si>
  <si>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</si>
  <si>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</si>
  <si>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</si>
  <si>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</si>
  <si>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</si>
  <si>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</si>
  <si>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</si>
  <si>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</si>
  <si>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</si>
  <si>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</si>
  <si>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</si>
  <si>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</si>
  <si>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</si>
  <si>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</si>
  <si>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</si>
  <si>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</si>
  <si>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</si>
  <si>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</si>
  <si>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</si>
  <si>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</si>
  <si>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</si>
  <si>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</si>
  <si>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</si>
  <si>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</si>
  <si>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</si>
  <si>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</si>
  <si>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</si>
  <si>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</si>
  <si>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</si>
  <si>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</si>
  <si>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</si>
  <si>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</si>
  <si>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</si>
  <si>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</si>
  <si>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</si>
  <si>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</si>
  <si>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</si>
  <si>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</si>
  <si>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</si>
  <si>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</si>
  <si>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</si>
  <si>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</si>
  <si>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</si>
  <si>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</si>
  <si>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</si>
  <si>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</si>
  <si>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</si>
  <si>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</si>
  <si>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</si>
  <si>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</si>
  <si>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</si>
  <si>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</si>
  <si>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</si>
  <si>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</si>
  <si>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</si>
  <si>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</si>
  <si>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</si>
  <si>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</si>
  <si>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</si>
  <si>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</si>
  <si>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</si>
  <si>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</si>
  <si>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</si>
  <si>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</si>
  <si>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</si>
  <si>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</si>
  <si>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</si>
  <si>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</si>
  <si>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</si>
  <si>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</si>
  <si>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</si>
  <si>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</si>
  <si>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</si>
  <si>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</si>
  <si>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</si>
  <si>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</si>
  <si>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</si>
  <si>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</si>
  <si>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</si>
  <si>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</si>
  <si>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</si>
  <si>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</si>
  <si>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</si>
  <si>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</si>
  <si>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</si>
  <si>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</si>
  <si>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</si>
  <si>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</si>
  <si>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</si>
  <si>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</si>
  <si>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</si>
  <si>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</si>
  <si>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</si>
  <si>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</si>
  <si>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</si>
  <si>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</si>
  <si>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</si>
  <si>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</si>
  <si>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</si>
  <si>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</si>
  <si>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</si>
  <si>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</si>
  <si>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</si>
  <si>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</si>
  <si>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</si>
  <si>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</si>
  <si>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</si>
  <si>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</si>
  <si>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</si>
  <si>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</si>
  <si>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</si>
  <si>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</si>
  <si>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</si>
  <si>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</si>
  <si>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Горивна компонента в произв. цена на топлинната енергия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</si>
  <si>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</si>
  <si>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</si>
  <si>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</si>
  <si>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</si>
  <si>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</si>
  <si>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</si>
  <si>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</si>
  <si>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</si>
  <si>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</si>
  <si>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</si>
  <si>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</si>
  <si>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</si>
  <si>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</si>
  <si>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</si>
  <si>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</si>
  <si>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</si>
  <si>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</si>
  <si>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</si>
  <si>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</si>
  <si>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</si>
  <si>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</si>
  <si>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</si>
  <si>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</si>
  <si>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</si>
  <si>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</si>
  <si>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</si>
  <si>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</si>
  <si>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</si>
  <si>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</si>
  <si>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</si>
  <si>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</si>
  <si>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</si>
  <si>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</si>
  <si>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</si>
  <si>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</si>
  <si>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</si>
  <si>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</si>
  <si>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</si>
  <si>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</si>
  <si>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</si>
  <si>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</si>
  <si>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</si>
  <si>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</si>
  <si>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</si>
  <si>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t>Коефициент на разпределение на УПР в производството</t>
  </si>
  <si>
    <r>
      <t xml:space="preserve">K </t>
    </r>
    <r>
      <rPr>
        <vertAlign val="subscript"/>
        <sz val="10"/>
        <rFont val="Times New Roman"/>
        <family val="1"/>
        <charset val="204"/>
      </rPr>
      <t>упр</t>
    </r>
    <r>
      <rPr>
        <vertAlign val="superscript"/>
        <sz val="10"/>
        <rFont val="Times New Roman"/>
        <family val="1"/>
        <charset val="204"/>
      </rPr>
      <t>произв.</t>
    </r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</si>
  <si>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</si>
  <si>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</si>
  <si>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</si>
  <si>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</si>
  <si>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</si>
  <si>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</si>
  <si>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t>Коефициент за разделяне на горивото в енергийната част (ползи)</t>
  </si>
  <si>
    <t>Топлинна енергия за електрическа енергия (ползи)</t>
  </si>
  <si>
    <t>Коефициент за разделяне на горивото в централата (ползи)</t>
  </si>
  <si>
    <r>
      <t xml:space="preserve">K </t>
    </r>
    <r>
      <rPr>
        <vertAlign val="subscript"/>
        <sz val="10"/>
        <rFont val="Times New Roman"/>
        <family val="1"/>
        <charset val="204"/>
      </rPr>
      <t>p</t>
    </r>
    <r>
      <rPr>
        <vertAlign val="superscript"/>
        <sz val="10"/>
        <rFont val="Times New Roman"/>
        <family val="1"/>
        <charset val="204"/>
      </rPr>
      <t>ен.ч.</t>
    </r>
  </si>
  <si>
    <r>
      <t xml:space="preserve">K </t>
    </r>
    <r>
      <rPr>
        <vertAlign val="subscript"/>
        <sz val="10"/>
        <rFont val="Times New Roman"/>
        <family val="1"/>
        <charset val="204"/>
      </rPr>
      <t>р</t>
    </r>
    <r>
      <rPr>
        <vertAlign val="superscript"/>
        <sz val="10"/>
        <rFont val="Times New Roman"/>
        <family val="1"/>
        <charset val="204"/>
      </rPr>
      <t>централа</t>
    </r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</si>
  <si>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</si>
  <si>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</si>
  <si>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</si>
  <si>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</si>
  <si>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</si>
  <si>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</si>
  <si>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</si>
  <si>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</si>
  <si>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</si>
  <si>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</si>
  <si>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</si>
  <si>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</si>
  <si>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</si>
  <si>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</si>
  <si>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</si>
  <si>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</si>
  <si>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</si>
  <si>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</si>
  <si>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</si>
  <si>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</si>
  <si>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</si>
  <si>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</si>
  <si>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</si>
  <si>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</si>
  <si>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</si>
  <si>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</si>
  <si>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</si>
  <si>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Справка за Привлечен капитал към 31.12.2013 г.</t>
  </si>
  <si>
    <t>RS25/25-8,82/1/25</t>
  </si>
  <si>
    <t>PT25/25-7.65/0,12</t>
  </si>
  <si>
    <t>T55-8.82/0.1176</t>
  </si>
  <si>
    <t>от7.2015</t>
  </si>
  <si>
    <t>/ Л. Джамбазка /</t>
  </si>
  <si>
    <t>"Топлофикация- Перник" АД</t>
  </si>
  <si>
    <t>други</t>
  </si>
  <si>
    <t>ОТЧЕТ към 31.12.2015 г.</t>
  </si>
  <si>
    <t>ОТЧЕТ към 31.12.2016 г.</t>
  </si>
  <si>
    <t>Към 31.12.2015 г.</t>
  </si>
  <si>
    <t>Към 31.12.2016 г.</t>
  </si>
  <si>
    <t>/Ст. Йорданов/</t>
  </si>
  <si>
    <t>4,5</t>
  </si>
  <si>
    <t>3,5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</si>
</sst>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8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#,##0.0000"/>
    <numFmt numFmtId="170" formatCode="0.0%"/>
    <numFmt numFmtId="171" formatCode="#,##0.00_ ;[Red]\-#,##0.00\ "/>
    <numFmt numFmtId="172" formatCode="#,##0_ ;[Red]\-#,##0\ "/>
    <numFmt numFmtId="173" formatCode="&quot;ОБЩО &quot;yyyy\ &quot;г.&quot;"/>
    <numFmt numFmtId="174" formatCode="0_)"/>
    <numFmt numFmtId="175" formatCode="&quot;СПРАВКА № &quot;0"/>
    <numFmt numFmtId="176" formatCode="&quot;ОТЧЕТ &quot;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= (&quot;#,##0&quot; *&quot;"/>
    <numFmt numFmtId="206" formatCode="&quot;ДВИГАТЕЛИ С ВЪТРЕШНО ГОРЕНЕ (ДВГ) (qe = &quot;#,##0&quot; kcal/kWh)&quot;"/>
    <numFmt numFmtId="207" formatCode="&quot;ГТ с КУ (qe = &quot;#,##0&quot; kcal/kWh)&quot;"/>
    <numFmt numFmtId="208" formatCode="&quot;ГТ с КУ и ПТ (ПГЦ) (qe = &quot;#,##0&quot; kcal/kWh)&quot;"/>
    <numFmt numFmtId="209" formatCode="&quot;ОТЧЕТ за &quot;0&quot; г.&quot;"/>
    <numFmt numFmtId="210" formatCode="&quot;ПРОГНОЗА от &quot;0.0000&quot; г.&quot;"/>
    <numFmt numFmtId="211" formatCode="&quot;ПРОГНОЗА &quot;0.0000&quot; г.&quot;"/>
    <numFmt numFmtId="212" formatCode="&quot;Справка за Привлечен капитал  към &quot;0.0000&quot; г.&quot;"/>
    <numFmt numFmtId="213" formatCode="&quot;Към &quot;0.0000&quot; г.&quot;"/>
    <numFmt numFmtId="214" formatCode="&quot;ПРОГНОЗНИ ПАРАМЕТРИ &quot;0.0000&quot; г.&quot;"/>
    <numFmt numFmtId="215" formatCode="&quot;КОЛИЧЕСТВЕНИ ПОКАЗАТЕЛИ ЗА ПРОИЗВОДИТЕЛЯ - &quot;0.0000&quot; г.&quot;"/>
    <numFmt numFmtId="216" formatCode="&quot;ПОКАЗАТЕЛИ ЗА ПРОИЗВОДИТЕЛЯ  И ПРЕНОСА - &quot;0.0000&quot; г.&quot;"/>
    <numFmt numFmtId="217" formatCode="&quot;от &quot;0.0000&quot; г.&quot;"/>
    <numFmt numFmtId="218" formatCode="&quot;ПРОГНОЗНИ ПАРАМЕТРИ НРП от &quot;0.0000&quot; г.&quot;"/>
    <numFmt numFmtId="219" formatCode="&quot;ПРОГНОЗА за НРП от &quot;0.0000&quot; г.&quot;"/>
    <numFmt numFmtId="220" formatCode="&quot;ЗА 7&quot;\ 0&quot; г.- 7.,2016&quot;"/>
    <numFmt numFmtId="221" formatCode="&quot;ОТЧЕТ 7'  &quot;0&quot; г. - 7'2016&quot;"/>
  </numFmts>
  <fonts count="89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vertAlign val="subscript"/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b/>
      <sz val="10"/>
      <color rgb="FF00006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74" fontId="2" fillId="0" borderId="0"/>
  </cellStyleXfs>
  <cellXfs count="859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3" fontId="4" fillId="0" borderId="1" xfId="0" applyNumberFormat="1" applyFont="1" applyFill="1" applyBorder="1" applyAlignment="1" applyProtection="1">
      <alignment horizontal="center"/>
    </xf>
    <xf numFmtId="173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4" fillId="0" borderId="1" xfId="0" applyFont="1" applyBorder="1" applyAlignment="1" applyProtection="1">
      <alignment horizontal="center" vertical="center"/>
    </xf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6" fontId="4" fillId="6" borderId="8" xfId="0" applyNumberFormat="1" applyFont="1" applyFill="1" applyBorder="1" applyAlignment="1" applyProtection="1">
      <alignment vertical="center" wrapText="1"/>
      <protection locked="0"/>
    </xf>
    <xf numFmtId="187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5" fillId="3" borderId="5" xfId="0" applyNumberFormat="1" applyFont="1" applyFill="1" applyBorder="1" applyAlignment="1" applyProtection="1">
      <alignment horizontal="right" vertical="center"/>
    </xf>
    <xf numFmtId="3" fontId="65" fillId="3" borderId="10" xfId="0" applyNumberFormat="1" applyFont="1" applyFill="1" applyBorder="1" applyAlignment="1" applyProtection="1">
      <alignment horizontal="right" vertical="center"/>
    </xf>
    <xf numFmtId="3" fontId="66" fillId="3" borderId="1" xfId="0" applyNumberFormat="1" applyFont="1" applyFill="1" applyBorder="1" applyAlignment="1" applyProtection="1">
      <alignment horizontal="right" vertical="center"/>
    </xf>
    <xf numFmtId="3" fontId="66" fillId="0" borderId="1" xfId="0" applyNumberFormat="1" applyFont="1" applyBorder="1" applyAlignment="1" applyProtection="1">
      <alignment horizontal="right" vertical="center"/>
    </xf>
    <xf numFmtId="3" fontId="66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7" fillId="0" borderId="1" xfId="0" applyFont="1" applyBorder="1" applyAlignment="1" applyProtection="1">
      <alignment vertical="top"/>
      <protection hidden="1"/>
    </xf>
    <xf numFmtId="0" fontId="67" fillId="0" borderId="1" xfId="0" applyFont="1" applyBorder="1" applyProtection="1">
      <protection hidden="1"/>
    </xf>
    <xf numFmtId="0" fontId="67" fillId="0" borderId="1" xfId="0" applyFont="1" applyBorder="1" applyAlignment="1" applyProtection="1">
      <alignment vertical="center"/>
      <protection hidden="1"/>
    </xf>
    <xf numFmtId="17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68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7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5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1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Fill="1" applyBorder="1" applyAlignment="1" applyProtection="1">
      <alignment horizontal="right" vertical="center"/>
      <protection hidden="1"/>
    </xf>
    <xf numFmtId="10" fontId="4" fillId="0" borderId="8" xfId="1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9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70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1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6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1" fontId="71" fillId="3" borderId="1" xfId="0" applyNumberFormat="1" applyFont="1" applyFill="1" applyBorder="1" applyAlignment="1" applyProtection="1">
      <alignment horizontal="center"/>
      <protection hidden="1"/>
    </xf>
    <xf numFmtId="171" fontId="71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1" fontId="33" fillId="3" borderId="1" xfId="0" applyNumberFormat="1" applyFont="1" applyFill="1" applyBorder="1" applyAlignment="1" applyProtection="1">
      <alignment horizontal="center"/>
      <protection hidden="1"/>
    </xf>
    <xf numFmtId="171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6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2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3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2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2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1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3" fillId="0" borderId="1" xfId="0" applyNumberFormat="1" applyFont="1" applyFill="1" applyBorder="1" applyAlignment="1" applyProtection="1">
      <alignment vertical="center"/>
      <protection hidden="1"/>
    </xf>
    <xf numFmtId="3" fontId="73" fillId="0" borderId="2" xfId="0" applyNumberFormat="1" applyFont="1" applyFill="1" applyBorder="1" applyAlignment="1" applyProtection="1">
      <alignment vertical="center"/>
      <protection hidden="1"/>
    </xf>
    <xf numFmtId="0" fontId="74" fillId="3" borderId="1" xfId="0" applyFont="1" applyFill="1" applyBorder="1" applyAlignment="1" applyProtection="1">
      <alignment vertical="center"/>
      <protection hidden="1"/>
    </xf>
    <xf numFmtId="0" fontId="67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194" fontId="7" fillId="5" borderId="1" xfId="0" applyNumberFormat="1" applyFont="1" applyFill="1" applyBorder="1" applyAlignment="1" applyProtection="1">
      <alignment vertical="center"/>
      <protection hidden="1"/>
    </xf>
    <xf numFmtId="197" fontId="7" fillId="5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70" fontId="18" fillId="0" borderId="1" xfId="1" applyNumberFormat="1" applyFont="1" applyFill="1" applyBorder="1" applyAlignment="1" applyProtection="1">
      <alignment vertical="center"/>
      <protection hidden="1"/>
    </xf>
    <xf numFmtId="10" fontId="18" fillId="0" borderId="1" xfId="1" applyNumberFormat="1" applyFont="1" applyFill="1" applyBorder="1" applyAlignment="1" applyProtection="1">
      <alignment vertical="center"/>
      <protection hidden="1"/>
    </xf>
    <xf numFmtId="10" fontId="4" fillId="0" borderId="1" xfId="1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3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5" fontId="7" fillId="5" borderId="1" xfId="0" applyNumberFormat="1" applyFont="1" applyFill="1" applyBorder="1" applyAlignment="1" applyProtection="1">
      <alignment vertical="center"/>
      <protection hidden="1"/>
    </xf>
    <xf numFmtId="196" fontId="7" fillId="5" borderId="1" xfId="0" applyNumberFormat="1" applyFont="1" applyFill="1" applyBorder="1" applyAlignment="1" applyProtection="1">
      <alignment vertical="center"/>
      <protection hidden="1"/>
    </xf>
    <xf numFmtId="170" fontId="14" fillId="0" borderId="1" xfId="1" applyNumberFormat="1" applyFont="1" applyFill="1" applyBorder="1" applyAlignment="1" applyProtection="1">
      <alignment vertical="center"/>
      <protection hidden="1"/>
    </xf>
    <xf numFmtId="0" fontId="75" fillId="0" borderId="1" xfId="0" applyFont="1" applyBorder="1" applyAlignment="1" applyProtection="1">
      <alignment horizontal="right" vertical="center"/>
      <protection hidden="1"/>
    </xf>
    <xf numFmtId="0" fontId="75" fillId="0" borderId="1" xfId="0" applyFont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3" fontId="64" fillId="3" borderId="1" xfId="0" applyNumberFormat="1" applyFont="1" applyFill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horizontal="right" vertical="center"/>
      <protection hidden="1"/>
    </xf>
    <xf numFmtId="0" fontId="55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7" fillId="0" borderId="1" xfId="0" applyNumberFormat="1" applyFont="1" applyBorder="1" applyAlignment="1" applyProtection="1">
      <alignment vertical="center"/>
      <protection hidden="1"/>
    </xf>
    <xf numFmtId="0" fontId="48" fillId="0" borderId="1" xfId="0" applyFont="1" applyBorder="1" applyAlignment="1" applyProtection="1">
      <alignment horizontal="right" vertical="center"/>
      <protection hidden="1"/>
    </xf>
    <xf numFmtId="2" fontId="65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8" fillId="0" borderId="1" xfId="0" applyFont="1" applyBorder="1" applyAlignment="1" applyProtection="1">
      <alignment vertical="center"/>
      <protection hidden="1"/>
    </xf>
    <xf numFmtId="4" fontId="54" fillId="0" borderId="6" xfId="0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4" fontId="65" fillId="0" borderId="8" xfId="0" applyNumberFormat="1" applyFont="1" applyBorder="1" applyAlignment="1" applyProtection="1">
      <alignment vertical="center"/>
      <protection hidden="1"/>
    </xf>
    <xf numFmtId="3" fontId="79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0" fontId="7" fillId="3" borderId="3" xfId="0" applyFont="1" applyFill="1" applyBorder="1" applyAlignment="1" applyProtection="1">
      <alignment horizontal="center" vertical="center"/>
      <protection hidden="1"/>
    </xf>
    <xf numFmtId="4" fontId="80" fillId="0" borderId="1" xfId="0" applyNumberFormat="1" applyFont="1" applyBorder="1" applyAlignment="1" applyProtection="1">
      <alignment vertical="center"/>
      <protection hidden="1"/>
    </xf>
    <xf numFmtId="200" fontId="4" fillId="6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7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81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198" fontId="7" fillId="6" borderId="1" xfId="0" applyNumberFormat="1" applyFont="1" applyFill="1" applyBorder="1" applyAlignment="1" applyProtection="1">
      <alignment vertical="center"/>
      <protection locked="0"/>
    </xf>
    <xf numFmtId="199" fontId="7" fillId="6" borderId="1" xfId="0" applyNumberFormat="1" applyFont="1" applyFill="1" applyBorder="1" applyAlignment="1" applyProtection="1">
      <alignment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3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1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170" fontId="18" fillId="0" borderId="2" xfId="1" applyNumberFormat="1" applyFont="1" applyFill="1" applyBorder="1" applyAlignment="1" applyProtection="1">
      <alignment vertical="center"/>
      <protection hidden="1"/>
    </xf>
    <xf numFmtId="10" fontId="4" fillId="0" borderId="2" xfId="1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3" fillId="3" borderId="2" xfId="0" applyNumberFormat="1" applyFont="1" applyFill="1" applyBorder="1" applyAlignment="1" applyProtection="1">
      <alignment vertical="center"/>
      <protection hidden="1"/>
    </xf>
    <xf numFmtId="170" fontId="14" fillId="0" borderId="2" xfId="1" applyNumberFormat="1" applyFont="1" applyFill="1" applyBorder="1" applyAlignment="1" applyProtection="1">
      <alignment vertical="center"/>
      <protection hidden="1"/>
    </xf>
    <xf numFmtId="3" fontId="64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7" fillId="0" borderId="2" xfId="0" applyNumberFormat="1" applyFont="1" applyBorder="1" applyAlignment="1" applyProtection="1">
      <alignment vertical="center"/>
      <protection hidden="1"/>
    </xf>
    <xf numFmtId="2" fontId="65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4" fillId="0" borderId="28" xfId="0" applyNumberFormat="1" applyFont="1" applyFill="1" applyBorder="1" applyAlignment="1" applyProtection="1">
      <alignment vertical="center"/>
      <protection hidden="1"/>
    </xf>
    <xf numFmtId="4" fontId="65" fillId="0" borderId="18" xfId="0" applyNumberFormat="1" applyFont="1" applyBorder="1" applyAlignment="1" applyProtection="1">
      <alignment vertical="center"/>
      <protection hidden="1"/>
    </xf>
    <xf numFmtId="3" fontId="79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4" fontId="80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2" fillId="0" borderId="0" xfId="0" applyFont="1" applyBorder="1" applyAlignment="1" applyProtection="1">
      <alignment vertical="center"/>
      <protection hidden="1"/>
    </xf>
    <xf numFmtId="2" fontId="57" fillId="0" borderId="2" xfId="0" applyNumberFormat="1" applyFont="1" applyBorder="1" applyAlignment="1" applyProtection="1">
      <alignment vertical="center"/>
      <protection hidden="1"/>
    </xf>
    <xf numFmtId="2" fontId="81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2" fillId="0" borderId="29" xfId="0" applyNumberFormat="1" applyFont="1" applyBorder="1" applyAlignment="1" applyProtection="1">
      <alignment vertical="center"/>
      <protection hidden="1"/>
    </xf>
    <xf numFmtId="2" fontId="82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3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1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2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1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70" fontId="4" fillId="0" borderId="13" xfId="1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8" fillId="2" borderId="1" xfId="0" applyFont="1" applyFill="1" applyBorder="1" applyAlignment="1" applyProtection="1">
      <alignment horizontal="left" vertical="center"/>
      <protection locked="0"/>
    </xf>
    <xf numFmtId="0" fontId="58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1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1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1" applyNumberFormat="1" applyFont="1" applyBorder="1" applyAlignment="1" applyProtection="1">
      <alignment vertical="center"/>
    </xf>
    <xf numFmtId="167" fontId="4" fillId="0" borderId="2" xfId="1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3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3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10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3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3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3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2" fontId="32" fillId="3" borderId="5" xfId="0" applyNumberFormat="1" applyFont="1" applyFill="1" applyBorder="1" applyAlignment="1" applyProtection="1">
      <alignment horizontal="center"/>
      <protection hidden="1"/>
    </xf>
    <xf numFmtId="172" fontId="32" fillId="3" borderId="10" xfId="0" applyNumberFormat="1" applyFont="1" applyFill="1" applyBorder="1" applyAlignment="1" applyProtection="1">
      <alignment horizontal="center"/>
      <protection hidden="1"/>
    </xf>
    <xf numFmtId="189" fontId="12" fillId="6" borderId="1" xfId="0" applyNumberFormat="1" applyFont="1" applyFill="1" applyBorder="1" applyAlignment="1" applyProtection="1">
      <alignment vertical="center"/>
      <protection locked="0"/>
    </xf>
    <xf numFmtId="214" fontId="4" fillId="0" borderId="1" xfId="0" applyNumberFormat="1" applyFont="1" applyBorder="1" applyAlignment="1" applyProtection="1">
      <alignment vertical="top" wrapText="1"/>
      <protection hidden="1"/>
    </xf>
    <xf numFmtId="214" fontId="4" fillId="0" borderId="1" xfId="0" applyNumberFormat="1" applyFont="1" applyBorder="1" applyAlignment="1" applyProtection="1">
      <alignment vertical="top"/>
      <protection hidden="1"/>
    </xf>
    <xf numFmtId="214" fontId="4" fillId="0" borderId="1" xfId="0" applyNumberFormat="1" applyFont="1" applyBorder="1" applyAlignment="1" applyProtection="1">
      <alignment vertical="center"/>
      <protection hidden="1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2" fontId="32" fillId="0" borderId="9" xfId="0" applyNumberFormat="1" applyFont="1" applyBorder="1" applyAlignment="1" applyProtection="1">
      <alignment horizontal="center"/>
      <protection hidden="1"/>
    </xf>
    <xf numFmtId="172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2" fontId="32" fillId="0" borderId="5" xfId="0" applyNumberFormat="1" applyFont="1" applyBorder="1" applyAlignment="1" applyProtection="1">
      <alignment horizontal="center"/>
      <protection hidden="1"/>
    </xf>
    <xf numFmtId="172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167" fontId="78" fillId="0" borderId="1" xfId="0" applyNumberFormat="1" applyFont="1" applyBorder="1" applyAlignment="1" applyProtection="1">
      <alignment vertical="center"/>
    </xf>
    <xf numFmtId="167" fontId="78" fillId="0" borderId="2" xfId="0" applyNumberFormat="1" applyFont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50" fillId="0" borderId="1" xfId="0" applyNumberFormat="1" applyFont="1" applyFill="1" applyBorder="1" applyAlignment="1" applyProtection="1">
      <alignment vertical="center"/>
      <protection hidden="1"/>
    </xf>
    <xf numFmtId="3" fontId="53" fillId="0" borderId="1" xfId="0" applyNumberFormat="1" applyFont="1" applyFill="1" applyBorder="1" applyAlignment="1" applyProtection="1">
      <alignment vertical="center"/>
      <protection hidden="1"/>
    </xf>
    <xf numFmtId="0" fontId="48" fillId="0" borderId="1" xfId="0" applyFont="1" applyBorder="1" applyAlignment="1" applyProtection="1">
      <alignment vertical="center"/>
      <protection hidden="1"/>
    </xf>
    <xf numFmtId="0" fontId="51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2" fontId="18" fillId="6" borderId="2" xfId="0" applyNumberFormat="1" applyFont="1" applyFill="1" applyBorder="1" applyAlignment="1" applyProtection="1">
      <alignment vertical="center"/>
      <protection locked="0"/>
    </xf>
    <xf numFmtId="0" fontId="60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60" fillId="0" borderId="5" xfId="0" applyFont="1" applyFill="1" applyBorder="1" applyAlignment="1" applyProtection="1">
      <alignment horizontal="left"/>
      <protection hidden="1"/>
    </xf>
    <xf numFmtId="3" fontId="39" fillId="2" borderId="5" xfId="0" applyNumberFormat="1" applyFont="1" applyFill="1" applyBorder="1" applyAlignment="1" applyProtection="1">
      <alignment horizontal="center"/>
      <protection hidden="1"/>
    </xf>
    <xf numFmtId="3" fontId="39" fillId="2" borderId="10" xfId="0" applyNumberFormat="1" applyFont="1" applyFill="1" applyBorder="1" applyAlignment="1" applyProtection="1">
      <alignment horizontal="center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1" applyNumberFormat="1" applyFont="1" applyFill="1" applyBorder="1" applyAlignment="1" applyProtection="1">
      <alignment horizontal="center" vertical="center"/>
    </xf>
    <xf numFmtId="10" fontId="15" fillId="0" borderId="2" xfId="1" applyNumberFormat="1" applyFont="1" applyFill="1" applyBorder="1" applyAlignment="1" applyProtection="1">
      <alignment horizontal="center" vertical="center"/>
    </xf>
    <xf numFmtId="10" fontId="17" fillId="0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4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0" fontId="84" fillId="3" borderId="1" xfId="0" applyFont="1" applyFill="1" applyBorder="1" applyAlignment="1" applyProtection="1">
      <alignment horizontal="left" vertical="center"/>
    </xf>
    <xf numFmtId="4" fontId="15" fillId="2" borderId="15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15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1" applyNumberFormat="1" applyFont="1" applyFill="1" applyBorder="1" applyAlignment="1" applyProtection="1">
      <alignment horizontal="center" vertical="center"/>
    </xf>
    <xf numFmtId="0" fontId="85" fillId="3" borderId="1" xfId="0" applyFont="1" applyFill="1" applyBorder="1" applyAlignment="1" applyProtection="1">
      <alignment horizontal="center" vertical="center"/>
    </xf>
    <xf numFmtId="0" fontId="86" fillId="0" borderId="1" xfId="0" applyFont="1" applyBorder="1" applyAlignment="1" applyProtection="1">
      <alignment horizontal="center" vertical="center"/>
    </xf>
    <xf numFmtId="3" fontId="85" fillId="0" borderId="1" xfId="0" applyNumberFormat="1" applyFont="1" applyFill="1" applyBorder="1" applyAlignment="1" applyProtection="1">
      <alignment horizontal="right" vertical="center"/>
    </xf>
    <xf numFmtId="3" fontId="85" fillId="0" borderId="2" xfId="0" applyNumberFormat="1" applyFont="1" applyFill="1" applyBorder="1" applyAlignment="1" applyProtection="1">
      <alignment horizontal="right" vertical="center"/>
    </xf>
    <xf numFmtId="0" fontId="79" fillId="3" borderId="21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center" vertical="center"/>
    </xf>
    <xf numFmtId="3" fontId="15" fillId="0" borderId="1" xfId="0" applyNumberFormat="1" applyFont="1" applyBorder="1" applyAlignment="1" applyProtection="1">
      <alignment horizontal="center" vertical="center"/>
    </xf>
    <xf numFmtId="3" fontId="15" fillId="0" borderId="2" xfId="0" applyNumberFormat="1" applyFont="1" applyBorder="1" applyAlignment="1" applyProtection="1">
      <alignment horizontal="center" vertical="center"/>
    </xf>
    <xf numFmtId="4" fontId="15" fillId="0" borderId="1" xfId="0" applyNumberFormat="1" applyFont="1" applyBorder="1" applyAlignment="1" applyProtection="1">
      <alignment horizontal="center" vertical="center"/>
    </xf>
    <xf numFmtId="4" fontId="15" fillId="0" borderId="2" xfId="0" applyNumberFormat="1" applyFont="1" applyBorder="1" applyAlignment="1" applyProtection="1">
      <alignment horizontal="center" vertical="center"/>
    </xf>
    <xf numFmtId="4" fontId="15" fillId="0" borderId="1" xfId="0" applyNumberFormat="1" applyFont="1" applyFill="1" applyBorder="1" applyAlignment="1" applyProtection="1">
      <alignment horizontal="center" vertical="center"/>
    </xf>
    <xf numFmtId="4" fontId="15" fillId="0" borderId="2" xfId="0" applyNumberFormat="1" applyFont="1" applyFill="1" applyBorder="1" applyAlignment="1" applyProtection="1">
      <alignment horizontal="center" vertical="center"/>
    </xf>
    <xf numFmtId="0" fontId="15" fillId="3" borderId="4" xfId="0" applyFont="1" applyFill="1" applyBorder="1" applyAlignment="1" applyProtection="1">
      <alignment horizontal="center" vertical="center"/>
    </xf>
    <xf numFmtId="0" fontId="7" fillId="3" borderId="43" xfId="0" applyFont="1" applyFill="1" applyBorder="1" applyAlignment="1" applyProtection="1">
      <alignment horizontal="left" vertical="center"/>
    </xf>
    <xf numFmtId="0" fontId="17" fillId="3" borderId="5" xfId="0" applyFont="1" applyFill="1" applyBorder="1" applyAlignment="1" applyProtection="1">
      <alignment horizontal="center" vertical="center"/>
    </xf>
    <xf numFmtId="0" fontId="12" fillId="3" borderId="5" xfId="0" applyFont="1" applyFill="1" applyBorder="1" applyAlignment="1" applyProtection="1">
      <alignment horizontal="center" vertical="center"/>
    </xf>
    <xf numFmtId="169" fontId="17" fillId="0" borderId="5" xfId="0" applyNumberFormat="1" applyFont="1" applyFill="1" applyBorder="1" applyAlignment="1" applyProtection="1">
      <alignment horizontal="center" vertical="center"/>
    </xf>
    <xf numFmtId="169" fontId="17" fillId="0" borderId="10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7" fillId="3" borderId="21" xfId="0" applyFont="1" applyFill="1" applyBorder="1" applyAlignment="1" applyProtection="1">
      <alignment horizontal="left" vertical="center"/>
    </xf>
    <xf numFmtId="0" fontId="87" fillId="3" borderId="21" xfId="0" applyFont="1" applyFill="1" applyBorder="1" applyAlignment="1" applyProtection="1">
      <alignment horizontal="center" vertical="center"/>
    </xf>
    <xf numFmtId="0" fontId="87" fillId="3" borderId="1" xfId="0" applyFont="1" applyFill="1" applyBorder="1" applyAlignment="1" applyProtection="1">
      <alignment horizontal="center" vertical="center"/>
    </xf>
    <xf numFmtId="0" fontId="88" fillId="0" borderId="15" xfId="0" applyFont="1" applyFill="1" applyBorder="1" applyAlignment="1" applyProtection="1">
      <alignment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7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7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6" fontId="4" fillId="0" borderId="20" xfId="0" applyNumberFormat="1" applyFont="1" applyFill="1" applyBorder="1" applyAlignment="1" applyProtection="1">
      <alignment horizontal="center" vertical="center"/>
      <protection hidden="1"/>
    </xf>
    <xf numFmtId="217" fontId="11" fillId="0" borderId="33" xfId="0" applyNumberFormat="1" applyFont="1" applyFill="1" applyBorder="1" applyAlignment="1" applyProtection="1">
      <alignment horizontal="center" vertical="center"/>
    </xf>
    <xf numFmtId="187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10" fontId="62" fillId="2" borderId="15" xfId="1" applyNumberFormat="1" applyFont="1" applyFill="1" applyBorder="1" applyAlignment="1" applyProtection="1">
      <alignment horizontal="center" vertical="center"/>
    </xf>
    <xf numFmtId="10" fontId="62" fillId="2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  <protection hidden="1"/>
    </xf>
    <xf numFmtId="3" fontId="63" fillId="2" borderId="1" xfId="0" applyNumberFormat="1" applyFont="1" applyFill="1" applyBorder="1" applyAlignment="1" applyProtection="1">
      <alignment vertical="center"/>
      <protection locked="0"/>
    </xf>
    <xf numFmtId="4" fontId="4" fillId="2" borderId="2" xfId="0" applyNumberFormat="1" applyFont="1" applyFill="1" applyBorder="1" applyAlignment="1" applyProtection="1">
      <alignment vertical="center"/>
      <protection locked="0"/>
    </xf>
    <xf numFmtId="3" fontId="32" fillId="7" borderId="2" xfId="0" applyNumberFormat="1" applyFont="1" applyFill="1" applyBorder="1" applyAlignment="1" applyProtection="1">
      <alignment horizontal="center"/>
      <protection locked="0"/>
    </xf>
    <xf numFmtId="3" fontId="7" fillId="7" borderId="2" xfId="0" applyNumberFormat="1" applyFont="1" applyFill="1" applyBorder="1" applyAlignment="1" applyProtection="1">
      <alignment horizontal="center"/>
      <protection locked="0"/>
    </xf>
    <xf numFmtId="3" fontId="18" fillId="7" borderId="2" xfId="0" applyNumberFormat="1" applyFont="1" applyFill="1" applyBorder="1" applyAlignment="1" applyProtection="1">
      <alignment horizontal="center"/>
      <protection locked="0"/>
    </xf>
    <xf numFmtId="3" fontId="4" fillId="7" borderId="1" xfId="0" applyNumberFormat="1" applyFont="1" applyFill="1" applyBorder="1" applyAlignment="1" applyProtection="1">
      <alignment horizontal="right" vertical="center"/>
      <protection locked="0"/>
    </xf>
    <xf numFmtId="3" fontId="15" fillId="7" borderId="2" xfId="0" applyNumberFormat="1" applyFont="1" applyFill="1" applyBorder="1" applyAlignment="1" applyProtection="1">
      <alignment horizontal="center" vertical="center"/>
      <protection locked="0"/>
    </xf>
    <xf numFmtId="3" fontId="4" fillId="7" borderId="2" xfId="0" applyNumberFormat="1" applyFont="1" applyFill="1" applyBorder="1" applyAlignment="1" applyProtection="1">
      <alignment vertical="center"/>
      <protection locked="0"/>
    </xf>
    <xf numFmtId="3" fontId="63" fillId="7" borderId="2" xfId="0" applyNumberFormat="1" applyFont="1" applyFill="1" applyBorder="1" applyAlignment="1" applyProtection="1">
      <alignment vertical="center"/>
      <protection locked="0"/>
    </xf>
    <xf numFmtId="3" fontId="7" fillId="0" borderId="0" xfId="0" applyNumberFormat="1" applyFont="1" applyAlignment="1" applyProtection="1">
      <alignment horizontal="center" vertical="center"/>
      <protection hidden="1"/>
    </xf>
    <xf numFmtId="3" fontId="7" fillId="0" borderId="16" xfId="0" applyNumberFormat="1" applyFont="1" applyBorder="1" applyAlignment="1" applyProtection="1">
      <alignment horizontal="center" vertical="center" wrapText="1"/>
      <protection hidden="1"/>
    </xf>
    <xf numFmtId="3" fontId="15" fillId="6" borderId="2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Alignment="1" applyProtection="1">
      <alignment vertical="center"/>
      <protection hidden="1"/>
    </xf>
    <xf numFmtId="220" fontId="21" fillId="0" borderId="2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2" borderId="0" xfId="0" applyFont="1" applyFill="1" applyAlignment="1" applyProtection="1">
      <alignment horizontal="left" vertical="center"/>
      <protection hidden="1"/>
    </xf>
    <xf numFmtId="175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9" fontId="7" fillId="0" borderId="44" xfId="0" applyNumberFormat="1" applyFont="1" applyBorder="1" applyAlignment="1" applyProtection="1">
      <alignment horizontal="center" vertical="center"/>
      <protection hidden="1"/>
    </xf>
    <xf numFmtId="219" fontId="7" fillId="0" borderId="45" xfId="0" applyNumberFormat="1" applyFont="1" applyBorder="1" applyAlignment="1" applyProtection="1">
      <alignment horizontal="center" vertical="center"/>
      <protection hidden="1"/>
    </xf>
    <xf numFmtId="219" fontId="7" fillId="0" borderId="46" xfId="0" applyNumberFormat="1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221" fontId="7" fillId="0" borderId="9" xfId="0" applyNumberFormat="1" applyFont="1" applyBorder="1" applyAlignment="1" applyProtection="1">
      <alignment horizontal="center" vertical="center"/>
      <protection hidden="1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0" fontId="4" fillId="5" borderId="0" xfId="0" applyFont="1" applyFill="1" applyAlignment="1" applyProtection="1">
      <alignment horizontal="left"/>
    </xf>
    <xf numFmtId="3" fontId="4" fillId="3" borderId="47" xfId="0" applyNumberFormat="1" applyFont="1" applyFill="1" applyBorder="1" applyAlignment="1" applyProtection="1">
      <alignment horizontal="center" vertical="center" textRotation="90"/>
    </xf>
    <xf numFmtId="0" fontId="4" fillId="0" borderId="48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6" fontId="4" fillId="0" borderId="9" xfId="0" applyNumberFormat="1" applyFont="1" applyBorder="1" applyAlignment="1" applyProtection="1">
      <alignment horizontal="center" vertical="center" wrapText="1"/>
    </xf>
    <xf numFmtId="211" fontId="4" fillId="0" borderId="9" xfId="0" applyNumberFormat="1" applyFont="1" applyBorder="1" applyAlignment="1" applyProtection="1">
      <alignment horizontal="center" vertical="center" wrapText="1"/>
    </xf>
    <xf numFmtId="211" fontId="4" fillId="0" borderId="33" xfId="0" applyNumberFormat="1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184" fontId="11" fillId="0" borderId="0" xfId="0" applyNumberFormat="1" applyFont="1" applyBorder="1" applyAlignment="1" applyProtection="1">
      <alignment horizontal="center" vertical="center"/>
    </xf>
    <xf numFmtId="177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33" xfId="0" applyNumberFormat="1" applyFont="1" applyFill="1" applyBorder="1" applyAlignment="1" applyProtection="1">
      <alignment horizontal="center" vertical="center" wrapText="1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182" fontId="4" fillId="0" borderId="0" xfId="0" applyNumberFormat="1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center" vertical="top" wrapText="1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175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45" xfId="0" applyFont="1" applyBorder="1" applyAlignment="1" applyProtection="1">
      <alignment horizontal="center" vertical="center" wrapText="1"/>
      <protection hidden="1"/>
    </xf>
    <xf numFmtId="0" fontId="10" fillId="0" borderId="50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2" fontId="27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3" xfId="0" applyFont="1" applyBorder="1" applyAlignment="1" applyProtection="1">
      <alignment horizontal="left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5" fontId="40" fillId="6" borderId="20" xfId="0" applyNumberFormat="1" applyFont="1" applyFill="1" applyBorder="1" applyAlignment="1" applyProtection="1">
      <alignment horizontal="center" vertical="center"/>
      <protection locked="0"/>
    </xf>
    <xf numFmtId="215" fontId="40" fillId="6" borderId="8" xfId="0" applyNumberFormat="1" applyFont="1" applyFill="1" applyBorder="1" applyAlignment="1" applyProtection="1">
      <alignment horizontal="center" vertical="center"/>
      <protection locked="0"/>
    </xf>
    <xf numFmtId="216" fontId="40" fillId="0" borderId="20" xfId="0" applyNumberFormat="1" applyFont="1" applyFill="1" applyBorder="1" applyAlignment="1" applyProtection="1">
      <alignment horizontal="center" vertical="center"/>
      <protection hidden="1"/>
    </xf>
    <xf numFmtId="216" fontId="40" fillId="0" borderId="8" xfId="0" applyNumberFormat="1" applyFont="1" applyFill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5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4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50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5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175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208" fontId="7" fillId="0" borderId="15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6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209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8" fillId="0" borderId="1" xfId="0" applyFont="1" applyBorder="1" applyAlignment="1" applyProtection="1">
      <alignment vertical="top"/>
      <protection hidden="1"/>
    </xf>
    <xf numFmtId="0" fontId="74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8" fontId="7" fillId="0" borderId="41" xfId="0" applyNumberFormat="1" applyFont="1" applyBorder="1" applyAlignment="1" applyProtection="1">
      <alignment horizontal="center" vertical="center"/>
      <protection hidden="1"/>
    </xf>
    <xf numFmtId="218" fontId="7" fillId="0" borderId="36" xfId="0" applyNumberFormat="1" applyFont="1" applyBorder="1" applyAlignment="1" applyProtection="1">
      <alignment horizontal="center" vertical="center"/>
      <protection hidden="1"/>
    </xf>
    <xf numFmtId="218" fontId="7" fillId="0" borderId="21" xfId="0" applyNumberFormat="1" applyFont="1" applyBorder="1" applyAlignment="1" applyProtection="1">
      <alignment horizontal="center" vertical="center"/>
      <protection hidden="1"/>
    </xf>
    <xf numFmtId="218" fontId="7" fillId="0" borderId="22" xfId="0" applyNumberFormat="1" applyFont="1" applyBorder="1" applyAlignment="1" applyProtection="1">
      <alignment horizontal="center" vertical="center"/>
      <protection hidden="1"/>
    </xf>
    <xf numFmtId="214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5" fillId="0" borderId="13" xfId="0" applyFont="1" applyBorder="1" applyAlignment="1" applyProtection="1">
      <alignment vertical="top" wrapText="1"/>
      <protection hidden="1"/>
    </xf>
    <xf numFmtId="0" fontId="65" fillId="0" borderId="14" xfId="0" applyFont="1" applyBorder="1" applyAlignment="1" applyProtection="1">
      <alignment vertical="top" wrapText="1"/>
      <protection hidden="1"/>
    </xf>
    <xf numFmtId="0" fontId="65" fillId="0" borderId="8" xfId="0" applyFont="1" applyBorder="1" applyAlignment="1" applyProtection="1">
      <alignment vertical="top" wrapText="1"/>
      <protection hidden="1"/>
    </xf>
    <xf numFmtId="3" fontId="32" fillId="0" borderId="0" xfId="0" applyNumberFormat="1" applyFont="1" applyFill="1" applyProtection="1">
      <protection hidden="1"/>
    </xf>
  </cellXfs>
  <cellStyles count="3">
    <cellStyle name="Normal" xfId="0" builtinId="0"/>
    <cellStyle name="Percent" xfId="1" builtinId="5"/>
    <cellStyle name="Standard_A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07-10-2011\Name-TIP-PROGNOZA-2010-01-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ICE\DHC-PERNIK-&#1062;&#1077;&#1085;&#1080;-2016-Ver.-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ICE\WORK\P-2012\N_tables-add-DVG&amp;GT-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РБА"/>
      <sheetName val="К&amp;Л ДОГ"/>
      <sheetName val="ОБЩА"/>
      <sheetName val="ДВГ"/>
      <sheetName val="ТГ&amp;ГТ(ПГЦ)"/>
      <sheetName val="ГТ(КУ)"/>
      <sheetName val="ВК&amp;ППК"/>
    </sheetNames>
    <sheetDataSet>
      <sheetData sheetId="0"/>
      <sheetData sheetId="1"/>
      <sheetData sheetId="2" refreshError="1">
        <row r="73">
          <cell r="B73" t="str">
            <v>/ Xxx                  /</v>
          </cell>
          <cell r="D73" t="str">
            <v>/ Xxxxxx                  /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А"/>
      <sheetName val="НАЧАЛО"/>
      <sheetName val="Разходи"/>
      <sheetName val="РБА"/>
      <sheetName val="НВ"/>
      <sheetName val="ТИП-ПРОИЗ"/>
      <sheetName val="ТИП-ПРЕНОС"/>
      <sheetName val="Коефициенти"/>
      <sheetName val="ИКП"/>
      <sheetName val="ВК§ППК"/>
      <sheetName val="Спецификация"/>
    </sheetNames>
    <sheetDataSet>
      <sheetData sheetId="0"/>
      <sheetData sheetId="1"/>
      <sheetData sheetId="2"/>
      <sheetData sheetId="3"/>
      <sheetData sheetId="4"/>
      <sheetData sheetId="5">
        <row r="32">
          <cell r="E32">
            <v>1572795.423</v>
          </cell>
          <cell r="F32">
            <v>2041743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4"/>
  <sheetViews>
    <sheetView workbookViewId="0">
      <selection activeCell="C25" sqref="C25"/>
    </sheetView>
  </sheetViews>
  <sheetFormatPr defaultColWidth="9.140625" defaultRowHeight="12.75"/>
  <cols>
    <col min="1" max="1" width="9.140625" style="15"/>
    <col min="2" max="2" width="9.140625" style="48"/>
    <col min="3" max="16384" width="9.140625" style="15"/>
  </cols>
  <sheetData>
    <row r="3" spans="2:9">
      <c r="B3" s="694" t="s">
        <v>359</v>
      </c>
      <c r="C3" s="694"/>
      <c r="D3" s="694"/>
      <c r="E3" s="694"/>
      <c r="F3" s="694"/>
      <c r="G3" s="694"/>
      <c r="H3" s="694"/>
    </row>
    <row r="4" spans="2:9">
      <c r="B4" s="694" t="s">
        <v>360</v>
      </c>
      <c r="C4" s="694"/>
      <c r="D4" s="694"/>
      <c r="E4" s="694"/>
      <c r="F4" s="694"/>
      <c r="G4" s="694"/>
      <c r="H4" s="694"/>
    </row>
    <row r="7" spans="2:9">
      <c r="B7" s="47">
        <v>1</v>
      </c>
      <c r="C7" s="15" t="s">
        <v>361</v>
      </c>
    </row>
    <row r="8" spans="2:9">
      <c r="B8" s="48">
        <v>2</v>
      </c>
      <c r="C8" s="15" t="s">
        <v>362</v>
      </c>
    </row>
    <row r="9" spans="2:9" ht="27.75" customHeight="1">
      <c r="B9" s="60">
        <v>3</v>
      </c>
      <c r="C9" s="693" t="s">
        <v>363</v>
      </c>
      <c r="D9" s="693"/>
      <c r="E9" s="693"/>
      <c r="F9" s="693"/>
      <c r="G9" s="693"/>
      <c r="H9" s="693"/>
      <c r="I9" s="693"/>
    </row>
    <row r="10" spans="2:9" ht="39" customHeight="1">
      <c r="B10" s="60">
        <v>4</v>
      </c>
      <c r="C10" s="693" t="s">
        <v>364</v>
      </c>
      <c r="D10" s="693"/>
      <c r="E10" s="693"/>
      <c r="F10" s="693"/>
      <c r="G10" s="693"/>
      <c r="H10" s="693"/>
      <c r="I10" s="693"/>
    </row>
    <row r="11" spans="2:9" ht="28.5" customHeight="1">
      <c r="B11" s="60">
        <v>5</v>
      </c>
      <c r="C11" s="693" t="s">
        <v>365</v>
      </c>
      <c r="D11" s="693"/>
      <c r="E11" s="693"/>
      <c r="F11" s="693"/>
      <c r="G11" s="693"/>
      <c r="H11" s="693"/>
      <c r="I11" s="693"/>
    </row>
    <row r="12" spans="2:9" ht="30" customHeight="1">
      <c r="B12" s="60">
        <v>6</v>
      </c>
      <c r="C12" s="693" t="s">
        <v>366</v>
      </c>
      <c r="D12" s="693"/>
      <c r="E12" s="693"/>
      <c r="F12" s="693"/>
      <c r="G12" s="693"/>
      <c r="H12" s="693"/>
      <c r="I12" s="693"/>
    </row>
    <row r="13" spans="2:9" ht="27" customHeight="1">
      <c r="B13" s="60">
        <v>7</v>
      </c>
      <c r="C13" s="693" t="s">
        <v>367</v>
      </c>
      <c r="D13" s="693"/>
      <c r="E13" s="693"/>
      <c r="F13" s="693"/>
      <c r="G13" s="693"/>
      <c r="H13" s="693"/>
      <c r="I13" s="693"/>
    </row>
    <row r="14" spans="2:9" ht="40.5" customHeight="1">
      <c r="B14" s="60">
        <v>8</v>
      </c>
      <c r="C14" s="693" t="s">
        <v>368</v>
      </c>
      <c r="D14" s="693"/>
      <c r="E14" s="693"/>
      <c r="F14" s="693"/>
      <c r="G14" s="693"/>
      <c r="H14" s="693"/>
      <c r="I14" s="693"/>
    </row>
    <row r="15" spans="2:9" ht="27" customHeight="1">
      <c r="B15" s="60">
        <v>9</v>
      </c>
      <c r="C15" s="693" t="s">
        <v>369</v>
      </c>
      <c r="D15" s="693"/>
      <c r="E15" s="693"/>
      <c r="F15" s="693"/>
      <c r="G15" s="693"/>
      <c r="H15" s="693"/>
      <c r="I15" s="693"/>
    </row>
    <row r="16" spans="2:9">
      <c r="B16" s="60">
        <v>10</v>
      </c>
      <c r="C16" s="693" t="s">
        <v>370</v>
      </c>
      <c r="D16" s="693"/>
      <c r="E16" s="693"/>
      <c r="F16" s="693"/>
      <c r="G16" s="693"/>
      <c r="H16" s="693"/>
      <c r="I16" s="693"/>
    </row>
    <row r="17" spans="2:9" ht="39" customHeight="1">
      <c r="B17" s="60">
        <v>11</v>
      </c>
      <c r="C17" s="693" t="s">
        <v>371</v>
      </c>
      <c r="D17" s="693"/>
      <c r="E17" s="693"/>
      <c r="F17" s="693"/>
      <c r="G17" s="693"/>
      <c r="H17" s="693"/>
      <c r="I17" s="693"/>
    </row>
    <row r="18" spans="2:9" ht="43.5" customHeight="1">
      <c r="B18" s="60">
        <v>12</v>
      </c>
      <c r="C18" s="693" t="s">
        <v>372</v>
      </c>
      <c r="D18" s="693"/>
      <c r="E18" s="693"/>
      <c r="F18" s="693"/>
      <c r="G18" s="693"/>
      <c r="H18" s="693"/>
      <c r="I18" s="693"/>
    </row>
    <row r="19" spans="2:9">
      <c r="B19" s="60">
        <v>13</v>
      </c>
      <c r="C19" s="693" t="s">
        <v>373</v>
      </c>
      <c r="D19" s="693"/>
      <c r="E19" s="693"/>
      <c r="F19" s="693"/>
      <c r="G19" s="693"/>
      <c r="H19" s="693"/>
      <c r="I19" s="693"/>
    </row>
    <row r="20" spans="2:9" ht="28.5" customHeight="1">
      <c r="B20" s="60">
        <v>14</v>
      </c>
      <c r="C20" s="693" t="s">
        <v>374</v>
      </c>
      <c r="D20" s="693"/>
      <c r="E20" s="693"/>
      <c r="F20" s="693"/>
      <c r="G20" s="693"/>
      <c r="H20" s="693"/>
      <c r="I20" s="693"/>
    </row>
    <row r="21" spans="2:9">
      <c r="B21" s="60">
        <v>15</v>
      </c>
      <c r="C21" s="693" t="s">
        <v>375</v>
      </c>
      <c r="D21" s="693"/>
      <c r="E21" s="693"/>
      <c r="F21" s="693"/>
      <c r="G21" s="693"/>
      <c r="H21" s="693"/>
      <c r="I21" s="693"/>
    </row>
    <row r="22" spans="2:9">
      <c r="B22" s="60">
        <v>16</v>
      </c>
      <c r="C22" s="693" t="s">
        <v>376</v>
      </c>
      <c r="D22" s="693"/>
      <c r="E22" s="693"/>
      <c r="F22" s="693"/>
      <c r="G22" s="693"/>
      <c r="H22" s="693"/>
      <c r="I22" s="693"/>
    </row>
    <row r="23" spans="2:9">
      <c r="B23" s="60">
        <v>17</v>
      </c>
      <c r="C23" s="693" t="s">
        <v>377</v>
      </c>
      <c r="D23" s="693"/>
      <c r="E23" s="693"/>
      <c r="F23" s="693"/>
      <c r="G23" s="693"/>
      <c r="H23" s="693"/>
      <c r="I23" s="693"/>
    </row>
    <row r="24" spans="2:9" ht="27.75" customHeight="1">
      <c r="B24" s="60">
        <v>18</v>
      </c>
      <c r="C24" s="693" t="s">
        <v>542</v>
      </c>
      <c r="D24" s="693"/>
      <c r="E24" s="693"/>
      <c r="F24" s="693"/>
      <c r="G24" s="693"/>
      <c r="H24" s="693"/>
      <c r="I24" s="693"/>
    </row>
  </sheetData>
  <mergeCells count="18">
    <mergeCell ref="C12:I12"/>
    <mergeCell ref="C19:I19"/>
    <mergeCell ref="C20:I20"/>
    <mergeCell ref="C21:I21"/>
    <mergeCell ref="C22:I22"/>
    <mergeCell ref="C13:I13"/>
    <mergeCell ref="C14:I14"/>
    <mergeCell ref="C15:I15"/>
    <mergeCell ref="B3:H3"/>
    <mergeCell ref="B4:H4"/>
    <mergeCell ref="C9:I9"/>
    <mergeCell ref="C10:I10"/>
    <mergeCell ref="C11:I11"/>
    <mergeCell ref="C16:I16"/>
    <mergeCell ref="C17:I17"/>
    <mergeCell ref="C24:I24"/>
    <mergeCell ref="C18:I18"/>
    <mergeCell ref="C23:I2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5"/>
  <sheetViews>
    <sheetView showGridLines="0" showZeros="0" tabSelected="1" topLeftCell="D1" workbookViewId="0">
      <pane ySplit="5" topLeftCell="A6" activePane="bottomLeft" state="frozen"/>
      <selection pane="bottomLeft" activeCell="E46" sqref="E46:P46"/>
    </sheetView>
  </sheetViews>
  <sheetFormatPr defaultColWidth="0" defaultRowHeight="12.75" zeroHeight="1"/>
  <cols>
    <col min="1" max="1" width="19.42578125" style="103" customWidth="1"/>
    <col min="2" max="2" width="20.42578125" style="103" customWidth="1"/>
    <col min="3" max="3" width="9.140625" style="106" bestFit="1" customWidth="1"/>
    <col min="4" max="4" width="10.7109375" style="103" customWidth="1"/>
    <col min="5" max="17" width="9.7109375" style="103" customWidth="1"/>
    <col min="18" max="20" width="9.7109375" style="103" hidden="1" customWidth="1"/>
    <col min="21" max="21" width="11.7109375" style="103" hidden="1" customWidth="1"/>
    <col min="22" max="22" width="11.28515625" style="103" hidden="1" customWidth="1"/>
    <col min="23" max="23" width="0" style="103" hidden="1" customWidth="1"/>
    <col min="24" max="16384" width="0" style="103" hidden="1"/>
  </cols>
  <sheetData>
    <row r="1" spans="1:16" ht="12.75" customHeight="1">
      <c r="A1" s="842" t="s">
        <v>611</v>
      </c>
      <c r="B1" s="842"/>
      <c r="C1" s="842"/>
      <c r="K1" s="104"/>
      <c r="L1" s="104"/>
      <c r="M1" s="104"/>
      <c r="N1" s="104"/>
      <c r="O1" s="104"/>
      <c r="P1" s="133" t="s">
        <v>710</v>
      </c>
    </row>
    <row r="2" spans="1:16">
      <c r="A2" s="843" t="str">
        <f>'ТИП-ПРОИЗ'!B3</f>
        <v>"Топлофикация- Перник" АД</v>
      </c>
      <c r="B2" s="843"/>
      <c r="C2" s="843"/>
      <c r="K2" s="104"/>
      <c r="L2" s="104"/>
      <c r="M2" s="104"/>
      <c r="N2" s="104"/>
      <c r="O2" s="104"/>
      <c r="P2" s="104"/>
    </row>
    <row r="3" spans="1:16"/>
    <row r="4" spans="1:16">
      <c r="A4" s="849">
        <f>'ТИП-ПРОИЗ'!F6</f>
        <v>7.2016</v>
      </c>
      <c r="B4" s="850"/>
      <c r="C4" s="854" t="s">
        <v>161</v>
      </c>
      <c r="D4" s="107" t="s">
        <v>402</v>
      </c>
      <c r="E4" s="108">
        <f>DATE($A$4,D5,1)</f>
        <v>2739</v>
      </c>
      <c r="F4" s="108">
        <f t="shared" ref="F4:P4" si="0">DATE($A$4,$D$5+E5,1)</f>
        <v>2770</v>
      </c>
      <c r="G4" s="108">
        <f t="shared" si="0"/>
        <v>2801</v>
      </c>
      <c r="H4" s="108">
        <f t="shared" si="0"/>
        <v>2831</v>
      </c>
      <c r="I4" s="108">
        <f t="shared" si="0"/>
        <v>2862</v>
      </c>
      <c r="J4" s="108">
        <f t="shared" si="0"/>
        <v>2892</v>
      </c>
      <c r="K4" s="108">
        <f t="shared" si="0"/>
        <v>2923</v>
      </c>
      <c r="L4" s="108">
        <f t="shared" si="0"/>
        <v>2954</v>
      </c>
      <c r="M4" s="108">
        <f t="shared" si="0"/>
        <v>2983</v>
      </c>
      <c r="N4" s="108">
        <f t="shared" si="0"/>
        <v>3014</v>
      </c>
      <c r="O4" s="108">
        <f t="shared" si="0"/>
        <v>3044</v>
      </c>
      <c r="P4" s="108">
        <f t="shared" si="0"/>
        <v>3075</v>
      </c>
    </row>
    <row r="5" spans="1:16">
      <c r="A5" s="851"/>
      <c r="B5" s="852"/>
      <c r="C5" s="854"/>
      <c r="D5" s="138">
        <v>7</v>
      </c>
      <c r="E5" s="109">
        <v>1</v>
      </c>
      <c r="F5" s="109">
        <v>2</v>
      </c>
      <c r="G5" s="109">
        <v>3</v>
      </c>
      <c r="H5" s="109">
        <v>4</v>
      </c>
      <c r="I5" s="109">
        <v>5</v>
      </c>
      <c r="J5" s="109">
        <v>6</v>
      </c>
      <c r="K5" s="109">
        <v>7</v>
      </c>
      <c r="L5" s="109">
        <v>8</v>
      </c>
      <c r="M5" s="109">
        <v>9</v>
      </c>
      <c r="N5" s="109">
        <v>10</v>
      </c>
      <c r="O5" s="109">
        <v>11</v>
      </c>
      <c r="P5" s="109">
        <v>12</v>
      </c>
    </row>
    <row r="6" spans="1:16" ht="12.75" customHeight="1">
      <c r="A6" s="853" t="s">
        <v>714</v>
      </c>
      <c r="B6" s="537" t="s">
        <v>716</v>
      </c>
      <c r="C6" s="538"/>
      <c r="D6" s="112"/>
      <c r="E6" s="139">
        <v>5</v>
      </c>
      <c r="F6" s="139">
        <v>3</v>
      </c>
      <c r="G6" s="139">
        <v>5</v>
      </c>
      <c r="H6" s="139">
        <v>5</v>
      </c>
      <c r="I6" s="139">
        <v>5</v>
      </c>
      <c r="J6" s="139">
        <v>5</v>
      </c>
      <c r="K6" s="139" t="s">
        <v>786</v>
      </c>
      <c r="L6" s="139" t="s">
        <v>786</v>
      </c>
      <c r="M6" s="139">
        <v>5</v>
      </c>
      <c r="N6" s="139">
        <v>5</v>
      </c>
      <c r="O6" s="139">
        <v>5</v>
      </c>
      <c r="P6" s="139">
        <v>5</v>
      </c>
    </row>
    <row r="7" spans="1:16" ht="12.75" customHeight="1">
      <c r="A7" s="853"/>
      <c r="B7" s="537" t="s">
        <v>717</v>
      </c>
      <c r="C7" s="538"/>
      <c r="D7" s="112"/>
      <c r="E7" s="139">
        <v>5</v>
      </c>
      <c r="F7" s="139">
        <v>4</v>
      </c>
      <c r="G7" s="139">
        <v>5</v>
      </c>
      <c r="H7" s="139">
        <v>5</v>
      </c>
      <c r="I7" s="139">
        <v>5</v>
      </c>
      <c r="J7" s="139">
        <v>5</v>
      </c>
      <c r="K7" s="139" t="s">
        <v>787</v>
      </c>
      <c r="L7" s="139" t="s">
        <v>787</v>
      </c>
      <c r="M7" s="139">
        <v>5</v>
      </c>
      <c r="N7" s="139">
        <v>5</v>
      </c>
      <c r="O7" s="139">
        <v>5</v>
      </c>
      <c r="P7" s="139">
        <v>5</v>
      </c>
    </row>
    <row r="8" spans="1:16">
      <c r="A8" s="853"/>
      <c r="B8" s="539" t="s">
        <v>715</v>
      </c>
      <c r="C8" s="539"/>
      <c r="D8" s="112"/>
      <c r="E8" s="536"/>
      <c r="F8" s="536"/>
      <c r="G8" s="536"/>
      <c r="H8" s="536"/>
      <c r="I8" s="536"/>
      <c r="J8" s="536"/>
      <c r="K8" s="536"/>
      <c r="L8" s="536"/>
      <c r="M8" s="536"/>
      <c r="N8" s="536"/>
      <c r="O8" s="536"/>
      <c r="P8" s="536"/>
    </row>
    <row r="9" spans="1:16">
      <c r="A9" s="855" t="s">
        <v>557</v>
      </c>
      <c r="B9" s="110" t="s">
        <v>403</v>
      </c>
      <c r="C9" s="111" t="s">
        <v>70</v>
      </c>
      <c r="D9" s="112">
        <f>SUM(E9:P9)</f>
        <v>663950</v>
      </c>
      <c r="E9" s="112">
        <f t="shared" ref="E9:P9" si="1">SUM(E10:E11)</f>
        <v>20000</v>
      </c>
      <c r="F9" s="112">
        <f t="shared" si="1"/>
        <v>20000</v>
      </c>
      <c r="G9" s="112">
        <f t="shared" si="1"/>
        <v>44800</v>
      </c>
      <c r="H9" s="112">
        <f t="shared" si="1"/>
        <v>57600</v>
      </c>
      <c r="I9" s="112">
        <f t="shared" si="1"/>
        <v>71600</v>
      </c>
      <c r="J9" s="112">
        <f t="shared" si="1"/>
        <v>77300</v>
      </c>
      <c r="K9" s="112">
        <f t="shared" si="1"/>
        <v>79200</v>
      </c>
      <c r="L9" s="112">
        <f t="shared" si="1"/>
        <v>70850</v>
      </c>
      <c r="M9" s="112">
        <f t="shared" si="1"/>
        <v>73500</v>
      </c>
      <c r="N9" s="112">
        <f t="shared" si="1"/>
        <v>58000</v>
      </c>
      <c r="O9" s="112">
        <f t="shared" si="1"/>
        <v>46300</v>
      </c>
      <c r="P9" s="112">
        <f t="shared" si="1"/>
        <v>44800</v>
      </c>
    </row>
    <row r="10" spans="1:16">
      <c r="A10" s="856"/>
      <c r="B10" s="110" t="s">
        <v>404</v>
      </c>
      <c r="C10" s="111" t="s">
        <v>70</v>
      </c>
      <c r="D10" s="112">
        <f t="shared" ref="D10:D17" si="2">SUM(E10:P10)</f>
        <v>264750</v>
      </c>
      <c r="E10" s="683">
        <v>7900</v>
      </c>
      <c r="F10" s="683">
        <v>7900</v>
      </c>
      <c r="G10" s="683">
        <v>7900</v>
      </c>
      <c r="H10" s="683">
        <v>19100</v>
      </c>
      <c r="I10" s="683">
        <v>34700</v>
      </c>
      <c r="J10" s="683">
        <v>38900</v>
      </c>
      <c r="K10" s="683">
        <v>40800</v>
      </c>
      <c r="L10" s="683">
        <v>35550</v>
      </c>
      <c r="M10" s="683">
        <v>35100</v>
      </c>
      <c r="N10" s="683">
        <v>21100</v>
      </c>
      <c r="O10" s="683">
        <v>7900</v>
      </c>
      <c r="P10" s="683">
        <v>7900</v>
      </c>
    </row>
    <row r="11" spans="1:16">
      <c r="A11" s="857"/>
      <c r="B11" s="110" t="s">
        <v>405</v>
      </c>
      <c r="C11" s="111" t="s">
        <v>70</v>
      </c>
      <c r="D11" s="112">
        <f t="shared" si="2"/>
        <v>399200</v>
      </c>
      <c r="E11" s="55">
        <v>12100</v>
      </c>
      <c r="F11" s="55">
        <v>12100</v>
      </c>
      <c r="G11" s="55">
        <f>46900-10000</f>
        <v>36900</v>
      </c>
      <c r="H11" s="55">
        <f>48500-10000</f>
        <v>38500</v>
      </c>
      <c r="I11" s="55">
        <f>46900-10000</f>
        <v>36900</v>
      </c>
      <c r="J11" s="55">
        <f>48400-10000</f>
        <v>38400</v>
      </c>
      <c r="K11" s="55">
        <f>48400-10000</f>
        <v>38400</v>
      </c>
      <c r="L11" s="55">
        <f>45300-10000</f>
        <v>35300</v>
      </c>
      <c r="M11" s="55">
        <f>48400-10000</f>
        <v>38400</v>
      </c>
      <c r="N11" s="55">
        <f>46900-10000</f>
        <v>36900</v>
      </c>
      <c r="O11" s="55">
        <f>48400-10000</f>
        <v>38400</v>
      </c>
      <c r="P11" s="55">
        <f>46900-10000</f>
        <v>36900</v>
      </c>
    </row>
    <row r="12" spans="1:16">
      <c r="A12" s="844" t="s">
        <v>769</v>
      </c>
      <c r="B12" s="110" t="s">
        <v>403</v>
      </c>
      <c r="C12" s="111" t="s">
        <v>70</v>
      </c>
      <c r="D12" s="112">
        <f t="shared" si="2"/>
        <v>780450</v>
      </c>
      <c r="E12" s="112">
        <f t="shared" ref="E12:P12" si="3">SUM(E13:E14)</f>
        <v>27500</v>
      </c>
      <c r="F12" s="112">
        <f t="shared" si="3"/>
        <v>27500</v>
      </c>
      <c r="G12" s="112">
        <f t="shared" si="3"/>
        <v>52300</v>
      </c>
      <c r="H12" s="112">
        <f t="shared" si="3"/>
        <v>67600</v>
      </c>
      <c r="I12" s="112">
        <f t="shared" si="3"/>
        <v>83100</v>
      </c>
      <c r="J12" s="112">
        <f t="shared" si="3"/>
        <v>90300</v>
      </c>
      <c r="K12" s="112">
        <f t="shared" si="3"/>
        <v>92200</v>
      </c>
      <c r="L12" s="112">
        <f t="shared" si="3"/>
        <v>83350</v>
      </c>
      <c r="M12" s="112">
        <f t="shared" si="3"/>
        <v>84500</v>
      </c>
      <c r="N12" s="112">
        <f t="shared" si="3"/>
        <v>66000</v>
      </c>
      <c r="O12" s="112">
        <f t="shared" si="3"/>
        <v>53800</v>
      </c>
      <c r="P12" s="112">
        <f t="shared" si="3"/>
        <v>52300</v>
      </c>
    </row>
    <row r="13" spans="1:16">
      <c r="A13" s="845"/>
      <c r="B13" s="110" t="s">
        <v>404</v>
      </c>
      <c r="C13" s="111" t="s">
        <v>70</v>
      </c>
      <c r="D13" s="112">
        <f t="shared" si="2"/>
        <v>381250</v>
      </c>
      <c r="E13" s="683">
        <v>15400</v>
      </c>
      <c r="F13" s="683">
        <v>15400</v>
      </c>
      <c r="G13" s="683">
        <v>15400</v>
      </c>
      <c r="H13" s="683">
        <v>29100</v>
      </c>
      <c r="I13" s="683">
        <v>46200</v>
      </c>
      <c r="J13" s="683">
        <v>51900</v>
      </c>
      <c r="K13" s="683">
        <v>53800</v>
      </c>
      <c r="L13" s="683">
        <v>48050</v>
      </c>
      <c r="M13" s="683">
        <v>46100</v>
      </c>
      <c r="N13" s="683">
        <v>29100</v>
      </c>
      <c r="O13" s="683">
        <v>15400</v>
      </c>
      <c r="P13" s="683">
        <v>15400</v>
      </c>
    </row>
    <row r="14" spans="1:16">
      <c r="A14" s="846"/>
      <c r="B14" s="110" t="s">
        <v>405</v>
      </c>
      <c r="C14" s="111" t="s">
        <v>70</v>
      </c>
      <c r="D14" s="112">
        <f t="shared" si="2"/>
        <v>399200</v>
      </c>
      <c r="E14" s="55">
        <v>12100</v>
      </c>
      <c r="F14" s="55">
        <v>12100</v>
      </c>
      <c r="G14" s="55">
        <v>36900</v>
      </c>
      <c r="H14" s="55">
        <v>38500</v>
      </c>
      <c r="I14" s="55">
        <v>36900</v>
      </c>
      <c r="J14" s="55">
        <v>38400</v>
      </c>
      <c r="K14" s="55">
        <v>38400</v>
      </c>
      <c r="L14" s="55">
        <v>35300</v>
      </c>
      <c r="M14" s="55">
        <v>38400</v>
      </c>
      <c r="N14" s="55">
        <v>36900</v>
      </c>
      <c r="O14" s="55">
        <v>38400</v>
      </c>
      <c r="P14" s="55">
        <v>36900</v>
      </c>
    </row>
    <row r="15" spans="1:16">
      <c r="A15" s="844" t="s">
        <v>770</v>
      </c>
      <c r="B15" s="110" t="s">
        <v>403</v>
      </c>
      <c r="C15" s="111" t="s">
        <v>70</v>
      </c>
      <c r="D15" s="112">
        <f t="shared" si="2"/>
        <v>795200</v>
      </c>
      <c r="E15" s="112">
        <f t="shared" ref="E15:P15" si="4">SUM(E16:E17)</f>
        <v>28100</v>
      </c>
      <c r="F15" s="112">
        <f t="shared" si="4"/>
        <v>28100</v>
      </c>
      <c r="G15" s="112">
        <f t="shared" si="4"/>
        <v>52900</v>
      </c>
      <c r="H15" s="112">
        <f t="shared" si="4"/>
        <v>68500</v>
      </c>
      <c r="I15" s="112">
        <f t="shared" si="4"/>
        <v>84900</v>
      </c>
      <c r="J15" s="112">
        <f t="shared" si="4"/>
        <v>92400</v>
      </c>
      <c r="K15" s="112">
        <f t="shared" si="4"/>
        <v>94400</v>
      </c>
      <c r="L15" s="112">
        <f t="shared" si="4"/>
        <v>85300</v>
      </c>
      <c r="M15" s="112">
        <f t="shared" si="4"/>
        <v>86400</v>
      </c>
      <c r="N15" s="112">
        <f t="shared" si="4"/>
        <v>66900</v>
      </c>
      <c r="O15" s="112">
        <f t="shared" si="4"/>
        <v>54400</v>
      </c>
      <c r="P15" s="112">
        <f t="shared" si="4"/>
        <v>52900</v>
      </c>
    </row>
    <row r="16" spans="1:16">
      <c r="A16" s="845"/>
      <c r="B16" s="110" t="s">
        <v>404</v>
      </c>
      <c r="C16" s="111" t="s">
        <v>70</v>
      </c>
      <c r="D16" s="112">
        <f t="shared" si="2"/>
        <v>396000</v>
      </c>
      <c r="E16" s="683">
        <v>16000</v>
      </c>
      <c r="F16" s="683">
        <v>16000</v>
      </c>
      <c r="G16" s="683">
        <v>16000</v>
      </c>
      <c r="H16" s="683">
        <v>30000</v>
      </c>
      <c r="I16" s="683">
        <v>48000</v>
      </c>
      <c r="J16" s="683">
        <v>54000</v>
      </c>
      <c r="K16" s="683">
        <v>56000</v>
      </c>
      <c r="L16" s="683">
        <v>50000</v>
      </c>
      <c r="M16" s="683">
        <v>48000</v>
      </c>
      <c r="N16" s="683">
        <v>30000</v>
      </c>
      <c r="O16" s="683">
        <v>16000</v>
      </c>
      <c r="P16" s="683">
        <v>16000</v>
      </c>
    </row>
    <row r="17" spans="1:16">
      <c r="A17" s="846"/>
      <c r="B17" s="110" t="s">
        <v>405</v>
      </c>
      <c r="C17" s="111" t="s">
        <v>70</v>
      </c>
      <c r="D17" s="112">
        <f t="shared" si="2"/>
        <v>399200</v>
      </c>
      <c r="E17" s="55">
        <v>12100</v>
      </c>
      <c r="F17" s="55">
        <v>12100</v>
      </c>
      <c r="G17" s="55">
        <v>36900</v>
      </c>
      <c r="H17" s="55">
        <v>38500</v>
      </c>
      <c r="I17" s="55">
        <v>36900</v>
      </c>
      <c r="J17" s="55">
        <v>38400</v>
      </c>
      <c r="K17" s="55">
        <v>38400</v>
      </c>
      <c r="L17" s="55">
        <v>35300</v>
      </c>
      <c r="M17" s="55">
        <v>38400</v>
      </c>
      <c r="N17" s="55">
        <v>36900</v>
      </c>
      <c r="O17" s="55">
        <v>38400</v>
      </c>
      <c r="P17" s="55">
        <v>36900</v>
      </c>
    </row>
    <row r="18" spans="1:16">
      <c r="A18" s="114"/>
      <c r="B18" s="115"/>
      <c r="C18" s="116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</row>
    <row r="19" spans="1:16">
      <c r="A19" s="110" t="s">
        <v>558</v>
      </c>
      <c r="B19" s="110" t="s">
        <v>403</v>
      </c>
      <c r="C19" s="111" t="s">
        <v>70</v>
      </c>
      <c r="D19" s="112">
        <f>SUM(E19:P19)</f>
        <v>0</v>
      </c>
      <c r="E19" s="112">
        <f t="shared" ref="E19:P19" si="5">SUM(E20:E21)</f>
        <v>0</v>
      </c>
      <c r="F19" s="112">
        <f t="shared" si="5"/>
        <v>0</v>
      </c>
      <c r="G19" s="112">
        <f t="shared" si="5"/>
        <v>0</v>
      </c>
      <c r="H19" s="112">
        <f t="shared" si="5"/>
        <v>0</v>
      </c>
      <c r="I19" s="112">
        <f t="shared" si="5"/>
        <v>0</v>
      </c>
      <c r="J19" s="112">
        <f t="shared" si="5"/>
        <v>0</v>
      </c>
      <c r="K19" s="112">
        <f t="shared" si="5"/>
        <v>0</v>
      </c>
      <c r="L19" s="112">
        <f t="shared" si="5"/>
        <v>0</v>
      </c>
      <c r="M19" s="112">
        <f t="shared" si="5"/>
        <v>0</v>
      </c>
      <c r="N19" s="112">
        <f t="shared" si="5"/>
        <v>0</v>
      </c>
      <c r="O19" s="112">
        <f t="shared" si="5"/>
        <v>0</v>
      </c>
      <c r="P19" s="112">
        <f t="shared" si="5"/>
        <v>0</v>
      </c>
    </row>
    <row r="20" spans="1:16">
      <c r="A20" s="118" t="s">
        <v>407</v>
      </c>
      <c r="B20" s="110" t="s">
        <v>404</v>
      </c>
      <c r="C20" s="111" t="s">
        <v>70</v>
      </c>
      <c r="D20" s="112">
        <f>SUM(E20:P20)</f>
        <v>0</v>
      </c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</row>
    <row r="21" spans="1:16">
      <c r="A21" s="113" t="s">
        <v>408</v>
      </c>
      <c r="B21" s="110" t="s">
        <v>405</v>
      </c>
      <c r="C21" s="111" t="s">
        <v>70</v>
      </c>
      <c r="D21" s="112">
        <f>SUM(E21:P21)</f>
        <v>0</v>
      </c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</row>
    <row r="22" spans="1:16">
      <c r="A22" s="110" t="s">
        <v>249</v>
      </c>
      <c r="B22" s="110" t="s">
        <v>687</v>
      </c>
      <c r="C22" s="107" t="s">
        <v>7</v>
      </c>
      <c r="D22" s="503">
        <f t="shared" ref="D22:P22" si="6">IF(D23=0,0,D19/D23)</f>
        <v>0</v>
      </c>
      <c r="E22" s="503">
        <f t="shared" si="6"/>
        <v>0</v>
      </c>
      <c r="F22" s="503">
        <f t="shared" si="6"/>
        <v>0</v>
      </c>
      <c r="G22" s="503">
        <f t="shared" si="6"/>
        <v>0</v>
      </c>
      <c r="H22" s="503">
        <f t="shared" si="6"/>
        <v>0</v>
      </c>
      <c r="I22" s="503">
        <f t="shared" si="6"/>
        <v>0</v>
      </c>
      <c r="J22" s="503">
        <f t="shared" si="6"/>
        <v>0</v>
      </c>
      <c r="K22" s="503">
        <f t="shared" si="6"/>
        <v>0</v>
      </c>
      <c r="L22" s="503">
        <f t="shared" si="6"/>
        <v>0</v>
      </c>
      <c r="M22" s="503">
        <f t="shared" si="6"/>
        <v>0</v>
      </c>
      <c r="N22" s="503">
        <f t="shared" si="6"/>
        <v>0</v>
      </c>
      <c r="O22" s="503">
        <f t="shared" si="6"/>
        <v>0</v>
      </c>
      <c r="P22" s="503">
        <f t="shared" si="6"/>
        <v>0</v>
      </c>
    </row>
    <row r="23" spans="1:16">
      <c r="A23" s="847" t="s">
        <v>559</v>
      </c>
      <c r="B23" s="119" t="s">
        <v>680</v>
      </c>
      <c r="C23" s="111" t="s">
        <v>70</v>
      </c>
      <c r="D23" s="112">
        <f>SUM(E23:P23)</f>
        <v>0</v>
      </c>
      <c r="E23" s="120">
        <f>SUMPRODUCT($B$25:$B$26,E25:E26)/860</f>
        <v>0</v>
      </c>
      <c r="F23" s="120">
        <f t="shared" ref="F23:P23" si="7">SUMPRODUCT($B$25:$B$26,F25:F26)/860</f>
        <v>0</v>
      </c>
      <c r="G23" s="120">
        <f t="shared" si="7"/>
        <v>0</v>
      </c>
      <c r="H23" s="120">
        <f t="shared" si="7"/>
        <v>0</v>
      </c>
      <c r="I23" s="120">
        <f t="shared" si="7"/>
        <v>0</v>
      </c>
      <c r="J23" s="120">
        <f t="shared" si="7"/>
        <v>0</v>
      </c>
      <c r="K23" s="120">
        <f t="shared" si="7"/>
        <v>0</v>
      </c>
      <c r="L23" s="120">
        <f t="shared" si="7"/>
        <v>0</v>
      </c>
      <c r="M23" s="120">
        <f t="shared" si="7"/>
        <v>0</v>
      </c>
      <c r="N23" s="120">
        <f t="shared" si="7"/>
        <v>0</v>
      </c>
      <c r="O23" s="120">
        <f t="shared" si="7"/>
        <v>0</v>
      </c>
      <c r="P23" s="120">
        <f t="shared" si="7"/>
        <v>0</v>
      </c>
    </row>
    <row r="24" spans="1:16" ht="14.25">
      <c r="A24" s="848"/>
      <c r="B24" s="119" t="s">
        <v>410</v>
      </c>
      <c r="C24" s="107" t="s">
        <v>409</v>
      </c>
      <c r="D24" s="112">
        <f>SUM(E24:P24)</f>
        <v>0</v>
      </c>
      <c r="E24" s="121">
        <f t="shared" ref="E24:P24" si="8">E23*0.86/7</f>
        <v>0</v>
      </c>
      <c r="F24" s="121">
        <f t="shared" si="8"/>
        <v>0</v>
      </c>
      <c r="G24" s="121">
        <f t="shared" si="8"/>
        <v>0</v>
      </c>
      <c r="H24" s="121">
        <f t="shared" si="8"/>
        <v>0</v>
      </c>
      <c r="I24" s="121">
        <f t="shared" si="8"/>
        <v>0</v>
      </c>
      <c r="J24" s="121">
        <f t="shared" si="8"/>
        <v>0</v>
      </c>
      <c r="K24" s="121">
        <f t="shared" si="8"/>
        <v>0</v>
      </c>
      <c r="L24" s="121">
        <f t="shared" si="8"/>
        <v>0</v>
      </c>
      <c r="M24" s="121">
        <f t="shared" si="8"/>
        <v>0</v>
      </c>
      <c r="N24" s="121">
        <f t="shared" si="8"/>
        <v>0</v>
      </c>
      <c r="O24" s="121">
        <f t="shared" si="8"/>
        <v>0</v>
      </c>
      <c r="P24" s="121">
        <f t="shared" si="8"/>
        <v>0</v>
      </c>
    </row>
    <row r="25" spans="1:16" ht="15.75">
      <c r="A25" s="118" t="s">
        <v>560</v>
      </c>
      <c r="B25" s="673">
        <v>8150</v>
      </c>
      <c r="C25" s="674" t="s">
        <v>381</v>
      </c>
      <c r="D25" s="112">
        <f>SUM(E25:P25)</f>
        <v>0</v>
      </c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</row>
    <row r="26" spans="1:16" ht="15.75">
      <c r="A26" s="113" t="s">
        <v>561</v>
      </c>
      <c r="B26" s="673">
        <v>8150</v>
      </c>
      <c r="C26" s="674" t="s">
        <v>381</v>
      </c>
      <c r="D26" s="112">
        <f>SUM(E26:P26)</f>
        <v>0</v>
      </c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/>
      <c r="P26" s="139"/>
    </row>
    <row r="27" spans="1:16" s="122" customFormat="1" ht="11.25" customHeight="1"/>
    <row r="28" spans="1:16">
      <c r="A28" s="123" t="s">
        <v>679</v>
      </c>
      <c r="B28" s="119" t="s">
        <v>680</v>
      </c>
      <c r="C28" s="111" t="s">
        <v>70</v>
      </c>
      <c r="D28" s="112">
        <f t="shared" ref="D28:D34" si="9">SUM(E28:P28)</f>
        <v>1607473</v>
      </c>
      <c r="E28" s="120">
        <f>SUMPRODUCT($A$30:$A$34,E30:E34)/860</f>
        <v>131498</v>
      </c>
      <c r="F28" s="120">
        <f t="shared" ref="F28:P28" si="10">SUMPRODUCT($A$30:$A$34,F30:F34)/860</f>
        <v>66168</v>
      </c>
      <c r="G28" s="120">
        <f t="shared" si="10"/>
        <v>127256</v>
      </c>
      <c r="H28" s="120">
        <f t="shared" si="10"/>
        <v>131674</v>
      </c>
      <c r="I28" s="120">
        <f t="shared" si="10"/>
        <v>127256</v>
      </c>
      <c r="J28" s="120">
        <f t="shared" si="10"/>
        <v>131498</v>
      </c>
      <c r="K28" s="120">
        <f t="shared" si="10"/>
        <v>196913</v>
      </c>
      <c r="L28" s="120">
        <f t="shared" si="10"/>
        <v>177879</v>
      </c>
      <c r="M28" s="120">
        <f t="shared" si="10"/>
        <v>131321</v>
      </c>
      <c r="N28" s="120">
        <f t="shared" si="10"/>
        <v>127256</v>
      </c>
      <c r="O28" s="120">
        <f t="shared" si="10"/>
        <v>131498</v>
      </c>
      <c r="P28" s="120">
        <f t="shared" si="10"/>
        <v>127256</v>
      </c>
    </row>
    <row r="29" spans="1:16" ht="14.25">
      <c r="A29" s="124"/>
      <c r="B29" s="119" t="s">
        <v>410</v>
      </c>
      <c r="C29" s="107" t="s">
        <v>409</v>
      </c>
      <c r="D29" s="112">
        <f t="shared" si="9"/>
        <v>197489.54</v>
      </c>
      <c r="E29" s="121">
        <f t="shared" ref="E29:P29" si="11">E28*0.86/7</f>
        <v>16155.468571428572</v>
      </c>
      <c r="F29" s="121">
        <f t="shared" si="11"/>
        <v>8129.2114285714279</v>
      </c>
      <c r="G29" s="121">
        <f t="shared" si="11"/>
        <v>15634.308571428572</v>
      </c>
      <c r="H29" s="121">
        <f t="shared" si="11"/>
        <v>16177.091428571428</v>
      </c>
      <c r="I29" s="121">
        <f t="shared" si="11"/>
        <v>15634.308571428572</v>
      </c>
      <c r="J29" s="121">
        <f t="shared" si="11"/>
        <v>16155.468571428572</v>
      </c>
      <c r="K29" s="121">
        <f t="shared" si="11"/>
        <v>24192.16857142857</v>
      </c>
      <c r="L29" s="121">
        <f t="shared" si="11"/>
        <v>21853.705714285716</v>
      </c>
      <c r="M29" s="121">
        <f t="shared" si="11"/>
        <v>16133.722857142857</v>
      </c>
      <c r="N29" s="121">
        <f t="shared" si="11"/>
        <v>15634.308571428572</v>
      </c>
      <c r="O29" s="121">
        <f t="shared" si="11"/>
        <v>16155.468571428572</v>
      </c>
      <c r="P29" s="121">
        <f t="shared" si="11"/>
        <v>15634.308571428572</v>
      </c>
    </row>
    <row r="30" spans="1:16" ht="15.75">
      <c r="A30" s="140">
        <v>8150</v>
      </c>
      <c r="B30" s="119" t="s">
        <v>9</v>
      </c>
      <c r="C30" s="107" t="s">
        <v>381</v>
      </c>
      <c r="D30" s="112">
        <f t="shared" si="9"/>
        <v>9282.0931606453069</v>
      </c>
      <c r="E30" s="683">
        <v>100</v>
      </c>
      <c r="F30" s="683">
        <v>6982.0931606453069</v>
      </c>
      <c r="G30" s="683">
        <v>150</v>
      </c>
      <c r="H30" s="683">
        <v>150</v>
      </c>
      <c r="I30" s="683">
        <v>300</v>
      </c>
      <c r="J30" s="683">
        <v>300</v>
      </c>
      <c r="K30" s="683">
        <v>300</v>
      </c>
      <c r="L30" s="683">
        <v>300</v>
      </c>
      <c r="M30" s="683">
        <v>300</v>
      </c>
      <c r="N30" s="683">
        <v>150</v>
      </c>
      <c r="O30" s="683">
        <v>150</v>
      </c>
      <c r="P30" s="683">
        <v>100</v>
      </c>
    </row>
    <row r="31" spans="1:16">
      <c r="A31" s="76">
        <v>9500</v>
      </c>
      <c r="B31" s="119" t="s">
        <v>10</v>
      </c>
      <c r="C31" s="107" t="s">
        <v>23</v>
      </c>
      <c r="D31" s="112">
        <f t="shared" si="9"/>
        <v>0</v>
      </c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</row>
    <row r="32" spans="1:16">
      <c r="A32" s="76">
        <v>10500</v>
      </c>
      <c r="B32" s="119" t="s">
        <v>12</v>
      </c>
      <c r="C32" s="107" t="s">
        <v>23</v>
      </c>
      <c r="D32" s="112">
        <f t="shared" si="9"/>
        <v>0</v>
      </c>
      <c r="E32" s="139"/>
      <c r="F32" s="139"/>
      <c r="G32" s="139"/>
      <c r="H32" s="139"/>
      <c r="I32" s="139"/>
      <c r="J32" s="139"/>
      <c r="K32" s="139"/>
      <c r="L32" s="139"/>
      <c r="M32" s="139"/>
      <c r="N32" s="139"/>
      <c r="O32" s="139"/>
      <c r="P32" s="139"/>
    </row>
    <row r="33" spans="1:16">
      <c r="A33" s="76">
        <v>1900</v>
      </c>
      <c r="B33" s="119" t="s">
        <v>11</v>
      </c>
      <c r="C33" s="107" t="s">
        <v>23</v>
      </c>
      <c r="D33" s="112">
        <f t="shared" si="9"/>
        <v>687777.74775828468</v>
      </c>
      <c r="E33" s="683">
        <v>59091.199999999997</v>
      </c>
      <c r="F33" s="683">
        <v>0.22144249512961037</v>
      </c>
      <c r="G33" s="683">
        <v>56956.663157894734</v>
      </c>
      <c r="H33" s="683">
        <v>58956.389473684212</v>
      </c>
      <c r="I33" s="683">
        <v>56313.242105263154</v>
      </c>
      <c r="J33" s="683">
        <v>58233.305263157898</v>
      </c>
      <c r="K33" s="683">
        <v>87842.2</v>
      </c>
      <c r="L33" s="683">
        <v>79226.810526315792</v>
      </c>
      <c r="M33" s="683">
        <v>58153.189473684208</v>
      </c>
      <c r="N33" s="683">
        <v>56956.663157894734</v>
      </c>
      <c r="O33" s="683">
        <v>58876.72631578947</v>
      </c>
      <c r="P33" s="683">
        <v>57171.136842105261</v>
      </c>
    </row>
    <row r="34" spans="1:16" ht="15.75">
      <c r="A34" s="77">
        <v>6000</v>
      </c>
      <c r="B34" s="119" t="s">
        <v>411</v>
      </c>
      <c r="C34" s="107" t="s">
        <v>412</v>
      </c>
      <c r="D34" s="112">
        <f t="shared" si="9"/>
        <v>0</v>
      </c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</row>
    <row r="35" spans="1:16" s="122" customFormat="1"/>
    <row r="36" spans="1:16">
      <c r="A36" s="125" t="s">
        <v>682</v>
      </c>
      <c r="B36" s="126" t="s">
        <v>681</v>
      </c>
      <c r="C36" s="111" t="s">
        <v>70</v>
      </c>
      <c r="D36" s="112">
        <f>SUM(E36:P36)</f>
        <v>305900</v>
      </c>
      <c r="E36" s="683">
        <v>27000</v>
      </c>
      <c r="F36" s="683">
        <v>9600</v>
      </c>
      <c r="G36" s="683">
        <v>26100</v>
      </c>
      <c r="H36" s="683">
        <v>25100</v>
      </c>
      <c r="I36" s="683">
        <v>22300</v>
      </c>
      <c r="J36" s="683">
        <v>22700</v>
      </c>
      <c r="K36" s="683">
        <v>40800</v>
      </c>
      <c r="L36" s="683">
        <v>31900</v>
      </c>
      <c r="M36" s="683">
        <v>23100</v>
      </c>
      <c r="N36" s="683">
        <v>24200</v>
      </c>
      <c r="O36" s="683">
        <v>27000</v>
      </c>
      <c r="P36" s="683">
        <v>26100</v>
      </c>
    </row>
    <row r="37" spans="1:16">
      <c r="A37" s="125" t="s">
        <v>683</v>
      </c>
      <c r="B37" s="126"/>
      <c r="C37" s="111" t="s">
        <v>70</v>
      </c>
      <c r="D37" s="112">
        <f>SUM(E37:P37)</f>
        <v>212900</v>
      </c>
      <c r="E37" s="55">
        <v>18800</v>
      </c>
      <c r="F37" s="55">
        <v>5600</v>
      </c>
      <c r="G37" s="55">
        <v>18100</v>
      </c>
      <c r="H37" s="55">
        <v>17400</v>
      </c>
      <c r="I37" s="55">
        <v>14800</v>
      </c>
      <c r="J37" s="55">
        <v>16000</v>
      </c>
      <c r="K37" s="55">
        <v>30300</v>
      </c>
      <c r="L37" s="55">
        <v>21900</v>
      </c>
      <c r="M37" s="55">
        <v>15900</v>
      </c>
      <c r="N37" s="55">
        <v>16700</v>
      </c>
      <c r="O37" s="55">
        <v>19300</v>
      </c>
      <c r="P37" s="55">
        <v>18100</v>
      </c>
    </row>
    <row r="38" spans="1:16">
      <c r="A38" s="125" t="s">
        <v>684</v>
      </c>
      <c r="B38" s="126"/>
      <c r="C38" s="111" t="s">
        <v>70</v>
      </c>
      <c r="D38" s="112">
        <f>SUM(E38:P38)</f>
        <v>9000</v>
      </c>
      <c r="E38" s="139">
        <v>1500</v>
      </c>
      <c r="F38" s="139"/>
      <c r="G38" s="139">
        <v>1500</v>
      </c>
      <c r="H38" s="139">
        <v>1000</v>
      </c>
      <c r="I38" s="139">
        <v>1000</v>
      </c>
      <c r="J38" s="139"/>
      <c r="K38" s="139"/>
      <c r="L38" s="139"/>
      <c r="M38" s="139">
        <v>500</v>
      </c>
      <c r="N38" s="139">
        <v>1000</v>
      </c>
      <c r="O38" s="139">
        <v>1000</v>
      </c>
      <c r="P38" s="139">
        <v>1500</v>
      </c>
    </row>
    <row r="39" spans="1:16">
      <c r="A39" s="841" t="s">
        <v>16</v>
      </c>
      <c r="B39" s="127"/>
      <c r="C39" s="111" t="s">
        <v>70</v>
      </c>
      <c r="D39" s="112">
        <f>SUM(E39:P39)</f>
        <v>84000</v>
      </c>
      <c r="E39" s="683">
        <v>6700</v>
      </c>
      <c r="F39" s="683">
        <v>4000</v>
      </c>
      <c r="G39" s="683">
        <v>6500</v>
      </c>
      <c r="H39" s="683">
        <v>6700</v>
      </c>
      <c r="I39" s="683">
        <v>6500</v>
      </c>
      <c r="J39" s="683">
        <v>6700</v>
      </c>
      <c r="K39" s="683">
        <v>10500</v>
      </c>
      <c r="L39" s="683">
        <v>10000</v>
      </c>
      <c r="M39" s="683">
        <v>6700</v>
      </c>
      <c r="N39" s="683">
        <v>6500</v>
      </c>
      <c r="O39" s="683">
        <v>6700</v>
      </c>
      <c r="P39" s="683">
        <v>6500</v>
      </c>
    </row>
    <row r="40" spans="1:16">
      <c r="A40" s="841"/>
      <c r="B40" s="127"/>
      <c r="C40" s="107" t="s">
        <v>7</v>
      </c>
      <c r="D40" s="128">
        <f t="shared" ref="D40:P40" si="12">IF(D36=0,0,D39/D36)</f>
        <v>0.27459954233409611</v>
      </c>
      <c r="E40" s="128">
        <f t="shared" si="12"/>
        <v>0.24814814814814815</v>
      </c>
      <c r="F40" s="128">
        <f t="shared" si="12"/>
        <v>0.41666666666666669</v>
      </c>
      <c r="G40" s="128">
        <f t="shared" si="12"/>
        <v>0.24904214559386972</v>
      </c>
      <c r="H40" s="128">
        <f t="shared" si="12"/>
        <v>0.26693227091633465</v>
      </c>
      <c r="I40" s="128">
        <f t="shared" si="12"/>
        <v>0.2914798206278027</v>
      </c>
      <c r="J40" s="128">
        <f t="shared" si="12"/>
        <v>0.29515418502202645</v>
      </c>
      <c r="K40" s="128">
        <f t="shared" si="12"/>
        <v>0.25735294117647056</v>
      </c>
      <c r="L40" s="128">
        <f t="shared" si="12"/>
        <v>0.31347962382445144</v>
      </c>
      <c r="M40" s="128">
        <f t="shared" si="12"/>
        <v>0.29004329004329005</v>
      </c>
      <c r="N40" s="128">
        <f t="shared" si="12"/>
        <v>0.26859504132231404</v>
      </c>
      <c r="O40" s="128">
        <f t="shared" si="12"/>
        <v>0.24814814814814815</v>
      </c>
      <c r="P40" s="128">
        <f t="shared" si="12"/>
        <v>0.24904214559386972</v>
      </c>
    </row>
    <row r="41" spans="1:16" ht="20.25">
      <c r="A41" s="840" t="s">
        <v>413</v>
      </c>
      <c r="B41" s="129" t="s">
        <v>403</v>
      </c>
      <c r="C41" s="111" t="s">
        <v>70</v>
      </c>
      <c r="D41" s="130">
        <f t="shared" ref="D41:D46" si="13">SUM(E41:P41)</f>
        <v>221900</v>
      </c>
      <c r="E41" s="112">
        <f t="shared" ref="E41:P41" si="14">SUM(E36,-E39)</f>
        <v>20300</v>
      </c>
      <c r="F41" s="112">
        <f t="shared" si="14"/>
        <v>5600</v>
      </c>
      <c r="G41" s="112">
        <f t="shared" si="14"/>
        <v>19600</v>
      </c>
      <c r="H41" s="112">
        <f t="shared" si="14"/>
        <v>18400</v>
      </c>
      <c r="I41" s="112">
        <f t="shared" si="14"/>
        <v>15800</v>
      </c>
      <c r="J41" s="112">
        <f t="shared" si="14"/>
        <v>16000</v>
      </c>
      <c r="K41" s="112">
        <f t="shared" si="14"/>
        <v>30300</v>
      </c>
      <c r="L41" s="112">
        <f t="shared" si="14"/>
        <v>21900</v>
      </c>
      <c r="M41" s="112">
        <f t="shared" si="14"/>
        <v>16400</v>
      </c>
      <c r="N41" s="112">
        <f t="shared" si="14"/>
        <v>17700</v>
      </c>
      <c r="O41" s="112">
        <f t="shared" si="14"/>
        <v>20300</v>
      </c>
      <c r="P41" s="112">
        <f t="shared" si="14"/>
        <v>19600</v>
      </c>
    </row>
    <row r="42" spans="1:16">
      <c r="A42" s="840"/>
      <c r="B42" s="126" t="s">
        <v>686</v>
      </c>
      <c r="C42" s="111" t="s">
        <v>70</v>
      </c>
      <c r="D42" s="112">
        <f t="shared" si="13"/>
        <v>0</v>
      </c>
      <c r="E42" s="139"/>
      <c r="F42" s="139"/>
      <c r="G42" s="139"/>
      <c r="H42" s="139"/>
      <c r="I42" s="139"/>
      <c r="J42" s="139"/>
      <c r="K42" s="139"/>
      <c r="L42" s="139"/>
      <c r="M42" s="139"/>
      <c r="N42" s="139"/>
      <c r="O42" s="139"/>
      <c r="P42" s="139"/>
    </row>
    <row r="43" spans="1:16">
      <c r="A43" s="840"/>
      <c r="B43" s="126" t="s">
        <v>685</v>
      </c>
      <c r="C43" s="111" t="s">
        <v>70</v>
      </c>
      <c r="D43" s="130">
        <f t="shared" si="13"/>
        <v>221900</v>
      </c>
      <c r="E43" s="121">
        <f>SUM(E41,-E42)</f>
        <v>20300</v>
      </c>
      <c r="F43" s="121">
        <f t="shared" ref="F43:P43" si="15">SUM(F41,-F42)</f>
        <v>5600</v>
      </c>
      <c r="G43" s="121">
        <f t="shared" si="15"/>
        <v>19600</v>
      </c>
      <c r="H43" s="121">
        <f t="shared" si="15"/>
        <v>18400</v>
      </c>
      <c r="I43" s="121">
        <f t="shared" si="15"/>
        <v>15800</v>
      </c>
      <c r="J43" s="121">
        <f t="shared" si="15"/>
        <v>16000</v>
      </c>
      <c r="K43" s="121">
        <f t="shared" si="15"/>
        <v>30300</v>
      </c>
      <c r="L43" s="121">
        <f t="shared" si="15"/>
        <v>21900</v>
      </c>
      <c r="M43" s="121">
        <f t="shared" si="15"/>
        <v>16400</v>
      </c>
      <c r="N43" s="121">
        <f t="shared" si="15"/>
        <v>17700</v>
      </c>
      <c r="O43" s="121">
        <f t="shared" si="15"/>
        <v>20300</v>
      </c>
      <c r="P43" s="121">
        <f t="shared" si="15"/>
        <v>19600</v>
      </c>
    </row>
    <row r="44" spans="1:16">
      <c r="A44" s="840" t="s">
        <v>417</v>
      </c>
      <c r="B44" s="131" t="s">
        <v>414</v>
      </c>
      <c r="C44" s="111" t="s">
        <v>70</v>
      </c>
      <c r="D44" s="112">
        <f t="shared" si="13"/>
        <v>173400</v>
      </c>
      <c r="E44" s="112">
        <f>SUM(E43,-E45,-E46)</f>
        <v>16300</v>
      </c>
      <c r="F44" s="112">
        <f t="shared" ref="F44:P44" si="16">SUM(F43,-F45,-F46)</f>
        <v>3100</v>
      </c>
      <c r="G44" s="112">
        <f t="shared" si="16"/>
        <v>15100</v>
      </c>
      <c r="H44" s="112">
        <f t="shared" si="16"/>
        <v>14400</v>
      </c>
      <c r="I44" s="112">
        <f t="shared" si="16"/>
        <v>11800</v>
      </c>
      <c r="J44" s="112">
        <f t="shared" si="16"/>
        <v>11500</v>
      </c>
      <c r="K44" s="112">
        <f t="shared" si="16"/>
        <v>25800</v>
      </c>
      <c r="L44" s="112">
        <f t="shared" si="16"/>
        <v>17900</v>
      </c>
      <c r="M44" s="112">
        <f t="shared" si="16"/>
        <v>11400</v>
      </c>
      <c r="N44" s="112">
        <f t="shared" si="16"/>
        <v>13700</v>
      </c>
      <c r="O44" s="112">
        <f t="shared" si="16"/>
        <v>16800</v>
      </c>
      <c r="P44" s="112">
        <f t="shared" si="16"/>
        <v>15600</v>
      </c>
    </row>
    <row r="45" spans="1:16">
      <c r="A45" s="840"/>
      <c r="B45" s="131" t="s">
        <v>415</v>
      </c>
      <c r="C45" s="111" t="s">
        <v>70</v>
      </c>
      <c r="D45" s="112">
        <f t="shared" si="13"/>
        <v>39500</v>
      </c>
      <c r="E45" s="55">
        <v>2500</v>
      </c>
      <c r="F45" s="55">
        <v>2500</v>
      </c>
      <c r="G45" s="55">
        <v>3000</v>
      </c>
      <c r="H45" s="55">
        <v>3000</v>
      </c>
      <c r="I45" s="55">
        <v>3000</v>
      </c>
      <c r="J45" s="55">
        <v>4500</v>
      </c>
      <c r="K45" s="55">
        <v>4500</v>
      </c>
      <c r="L45" s="55">
        <v>4000</v>
      </c>
      <c r="M45" s="55">
        <v>4500</v>
      </c>
      <c r="N45" s="55">
        <v>3000</v>
      </c>
      <c r="O45" s="55">
        <v>2500</v>
      </c>
      <c r="P45" s="55">
        <v>2500</v>
      </c>
    </row>
    <row r="46" spans="1:16">
      <c r="A46" s="840"/>
      <c r="B46" s="131" t="s">
        <v>416</v>
      </c>
      <c r="C46" s="111" t="s">
        <v>70</v>
      </c>
      <c r="D46" s="112">
        <f t="shared" si="13"/>
        <v>9000</v>
      </c>
      <c r="E46" s="139">
        <v>1500</v>
      </c>
      <c r="F46" s="139"/>
      <c r="G46" s="139">
        <v>1500</v>
      </c>
      <c r="H46" s="139">
        <v>1000</v>
      </c>
      <c r="I46" s="139">
        <v>1000</v>
      </c>
      <c r="J46" s="139"/>
      <c r="K46" s="139"/>
      <c r="L46" s="139"/>
      <c r="M46" s="139">
        <v>500</v>
      </c>
      <c r="N46" s="139">
        <v>1000</v>
      </c>
      <c r="O46" s="139">
        <v>1000</v>
      </c>
      <c r="P46" s="139">
        <v>1500</v>
      </c>
    </row>
    <row r="47" spans="1:16">
      <c r="A47" s="839" t="s">
        <v>764</v>
      </c>
      <c r="B47" s="208" t="s">
        <v>404</v>
      </c>
      <c r="C47" s="111" t="s">
        <v>164</v>
      </c>
      <c r="D47" s="119"/>
      <c r="E47" s="55">
        <v>37</v>
      </c>
      <c r="F47" s="55">
        <v>32</v>
      </c>
      <c r="G47" s="55">
        <v>36</v>
      </c>
      <c r="H47" s="55">
        <v>50</v>
      </c>
      <c r="I47" s="55">
        <v>65</v>
      </c>
      <c r="J47" s="55">
        <v>75</v>
      </c>
      <c r="K47" s="55">
        <v>78</v>
      </c>
      <c r="L47" s="55">
        <v>78</v>
      </c>
      <c r="M47" s="55">
        <v>75</v>
      </c>
      <c r="N47" s="55">
        <v>55</v>
      </c>
      <c r="O47" s="55">
        <v>45</v>
      </c>
      <c r="P47" s="55">
        <v>40</v>
      </c>
    </row>
    <row r="48" spans="1:16">
      <c r="A48" s="839"/>
      <c r="B48" s="663" t="s">
        <v>405</v>
      </c>
      <c r="C48" s="111" t="s">
        <v>164</v>
      </c>
      <c r="D48" s="110"/>
      <c r="E48" s="55">
        <v>20</v>
      </c>
      <c r="F48" s="55">
        <v>20</v>
      </c>
      <c r="G48" s="55">
        <v>60</v>
      </c>
      <c r="H48" s="55">
        <v>60</v>
      </c>
      <c r="I48" s="55">
        <v>60</v>
      </c>
      <c r="J48" s="55">
        <v>65</v>
      </c>
      <c r="K48" s="55">
        <v>65</v>
      </c>
      <c r="L48" s="55">
        <v>65</v>
      </c>
      <c r="M48" s="55">
        <v>60</v>
      </c>
      <c r="N48" s="55">
        <v>60</v>
      </c>
      <c r="O48" s="55">
        <v>60</v>
      </c>
      <c r="P48" s="55">
        <v>60</v>
      </c>
    </row>
    <row r="49" spans="1:16">
      <c r="A49" s="235"/>
      <c r="B49" s="664"/>
      <c r="C49" s="116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</row>
    <row r="50" spans="1:16">
      <c r="A50" s="235"/>
      <c r="B50" s="664"/>
      <c r="C50" s="116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</row>
    <row r="51" spans="1:16">
      <c r="B51" s="133" t="str">
        <f>'[3]Разходи-Произв.'!$A$79</f>
        <v>Гл. счетоводител:</v>
      </c>
      <c r="C51" s="103"/>
      <c r="G51" s="134" t="str">
        <f>'[3]Разходи-Произв.'!$E$79</f>
        <v>Изп. директор:</v>
      </c>
      <c r="I51" s="135"/>
      <c r="J51" s="135"/>
    </row>
    <row r="52" spans="1:16">
      <c r="A52" s="132"/>
      <c r="C52" s="136" t="str">
        <f>Разходи!$B$93</f>
        <v>/ Л. Джамбазка /</v>
      </c>
      <c r="G52" s="135"/>
      <c r="H52" s="137" t="str">
        <f>Разходи!$F$93</f>
        <v>/Ст. Йорданов/</v>
      </c>
      <c r="I52" s="137"/>
      <c r="J52" s="137"/>
    </row>
    <row r="53" spans="1:16">
      <c r="A53" s="132"/>
      <c r="B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</row>
    <row r="54" spans="1:16" hidden="1">
      <c r="A54" s="132"/>
      <c r="B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</row>
    <row r="55" spans="1:16" hidden="1">
      <c r="A55" s="132"/>
      <c r="B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</row>
    <row r="56" spans="1:16" hidden="1">
      <c r="A56" s="132"/>
      <c r="B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</row>
    <row r="57" spans="1:16" hidden="1">
      <c r="A57" s="132"/>
      <c r="B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</row>
    <row r="58" spans="1:16" hidden="1">
      <c r="A58" s="132"/>
      <c r="B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</row>
    <row r="59" spans="1:16" hidden="1">
      <c r="A59" s="132"/>
      <c r="B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</row>
    <row r="60" spans="1:16" hidden="1">
      <c r="A60" s="132"/>
      <c r="B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</row>
    <row r="61" spans="1:16" hidden="1">
      <c r="A61" s="132"/>
      <c r="B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</row>
    <row r="62" spans="1:16" hidden="1">
      <c r="A62" s="132"/>
      <c r="B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</row>
    <row r="63" spans="1:16" hidden="1">
      <c r="A63" s="132"/>
      <c r="B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</row>
    <row r="64" spans="1:16" hidden="1">
      <c r="A64" s="132"/>
      <c r="B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</row>
    <row r="65" spans="1:16" hidden="1">
      <c r="A65" s="132"/>
      <c r="B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</row>
    <row r="66" spans="1:16" hidden="1">
      <c r="A66" s="132"/>
      <c r="B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</row>
    <row r="67" spans="1:16" hidden="1">
      <c r="A67" s="132"/>
      <c r="B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</row>
    <row r="68" spans="1:16" hidden="1">
      <c r="A68" s="132"/>
      <c r="B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</row>
    <row r="69" spans="1:16" hidden="1">
      <c r="A69" s="132"/>
      <c r="B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</row>
    <row r="70" spans="1:16" hidden="1">
      <c r="A70" s="132"/>
      <c r="B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</row>
    <row r="71" spans="1:16" hidden="1">
      <c r="A71" s="132"/>
      <c r="B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</row>
    <row r="72" spans="1:16" hidden="1">
      <c r="A72" s="132"/>
      <c r="B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</row>
    <row r="73" spans="1:16" hidden="1">
      <c r="A73" s="132"/>
      <c r="B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</row>
    <row r="74" spans="1:16" hidden="1">
      <c r="A74" s="132"/>
      <c r="B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</row>
    <row r="75" spans="1:16" hidden="1">
      <c r="A75" s="132"/>
      <c r="B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</row>
    <row r="76" spans="1:16" hidden="1">
      <c r="A76" s="132"/>
      <c r="B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</row>
    <row r="77" spans="1:16" hidden="1">
      <c r="A77" s="132"/>
      <c r="B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</row>
    <row r="78" spans="1:16" hidden="1">
      <c r="A78" s="132"/>
      <c r="B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</row>
    <row r="79" spans="1:16" hidden="1">
      <c r="A79" s="132"/>
      <c r="B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</row>
    <row r="80" spans="1:16" hidden="1">
      <c r="A80" s="132"/>
      <c r="B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</row>
    <row r="81" spans="1:16" hidden="1">
      <c r="A81" s="132"/>
      <c r="B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</row>
    <row r="82" spans="1:16" hidden="1">
      <c r="A82" s="132"/>
      <c r="B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</row>
    <row r="83" spans="1:16" hidden="1">
      <c r="A83" s="132"/>
      <c r="B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</row>
    <row r="84" spans="1:16" hidden="1">
      <c r="A84" s="132"/>
      <c r="B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</row>
    <row r="85" spans="1:16" hidden="1">
      <c r="A85" s="132"/>
      <c r="B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</row>
    <row r="86" spans="1:16" hidden="1">
      <c r="A86" s="132"/>
      <c r="B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</row>
    <row r="87" spans="1:16" hidden="1">
      <c r="A87" s="132"/>
      <c r="B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</row>
    <row r="88" spans="1:16" hidden="1">
      <c r="A88" s="132"/>
      <c r="B88" s="132"/>
      <c r="D88" s="132"/>
      <c r="E88" s="132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2"/>
    </row>
    <row r="89" spans="1:16" hidden="1">
      <c r="A89" s="132"/>
      <c r="B89" s="132"/>
      <c r="D89" s="132"/>
      <c r="E89" s="132"/>
      <c r="F89" s="132"/>
      <c r="G89" s="132"/>
      <c r="H89" s="132"/>
      <c r="I89" s="132"/>
      <c r="J89" s="132"/>
      <c r="K89" s="132"/>
      <c r="L89" s="132"/>
      <c r="M89" s="132"/>
      <c r="N89" s="132"/>
      <c r="O89" s="132"/>
      <c r="P89" s="132"/>
    </row>
    <row r="90" spans="1:16" hidden="1">
      <c r="A90" s="132"/>
      <c r="B90" s="132"/>
      <c r="D90" s="132"/>
      <c r="E90" s="132"/>
      <c r="F90" s="132"/>
      <c r="G90" s="132"/>
      <c r="H90" s="132"/>
      <c r="I90" s="132"/>
      <c r="J90" s="132"/>
      <c r="K90" s="132"/>
      <c r="L90" s="132"/>
      <c r="M90" s="132"/>
      <c r="N90" s="132"/>
      <c r="O90" s="132"/>
      <c r="P90" s="132"/>
    </row>
    <row r="91" spans="1:16" hidden="1">
      <c r="A91" s="132"/>
      <c r="B91" s="132"/>
      <c r="D91" s="132"/>
      <c r="E91" s="132"/>
      <c r="F91" s="132"/>
      <c r="G91" s="132"/>
      <c r="H91" s="132"/>
      <c r="I91" s="132"/>
      <c r="J91" s="132"/>
      <c r="K91" s="132"/>
      <c r="L91" s="132"/>
      <c r="M91" s="132"/>
      <c r="N91" s="132"/>
      <c r="O91" s="132"/>
      <c r="P91" s="132"/>
    </row>
    <row r="92" spans="1:16" hidden="1">
      <c r="A92" s="132"/>
      <c r="B92" s="132"/>
      <c r="D92" s="132"/>
      <c r="E92" s="132"/>
      <c r="F92" s="132"/>
      <c r="G92" s="132"/>
      <c r="H92" s="132"/>
      <c r="I92" s="132"/>
      <c r="J92" s="132"/>
      <c r="K92" s="132"/>
      <c r="L92" s="132"/>
      <c r="M92" s="132"/>
      <c r="N92" s="132"/>
      <c r="O92" s="132"/>
      <c r="P92" s="132"/>
    </row>
    <row r="93" spans="1:16" hidden="1">
      <c r="A93" s="132"/>
      <c r="B93" s="132"/>
      <c r="D93" s="132"/>
      <c r="E93" s="132"/>
      <c r="F93" s="132"/>
      <c r="G93" s="132"/>
      <c r="H93" s="132"/>
      <c r="I93" s="132"/>
      <c r="J93" s="132"/>
      <c r="K93" s="132"/>
      <c r="L93" s="132"/>
      <c r="M93" s="132"/>
      <c r="N93" s="132"/>
      <c r="O93" s="132"/>
      <c r="P93" s="132"/>
    </row>
    <row r="94" spans="1:16" hidden="1">
      <c r="A94" s="132"/>
      <c r="B94" s="132"/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2"/>
      <c r="O94" s="132"/>
      <c r="P94" s="132"/>
    </row>
    <row r="95" spans="1:16" hidden="1">
      <c r="A95" s="132"/>
      <c r="B95" s="132"/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2"/>
      <c r="O95" s="132"/>
      <c r="P95" s="132"/>
    </row>
    <row r="96" spans="1:16" hidden="1">
      <c r="A96" s="132"/>
      <c r="B96" s="132"/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2"/>
      <c r="O96" s="132"/>
      <c r="P96" s="132"/>
    </row>
    <row r="97" spans="1:16" hidden="1">
      <c r="A97" s="132"/>
      <c r="B97" s="132"/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2"/>
      <c r="O97" s="132"/>
      <c r="P97" s="132"/>
    </row>
    <row r="98" spans="1:16" hidden="1">
      <c r="A98" s="132"/>
      <c r="B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2"/>
      <c r="O98" s="132"/>
      <c r="P98" s="132"/>
    </row>
    <row r="99" spans="1:16" hidden="1">
      <c r="A99" s="132"/>
      <c r="B99" s="132"/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2"/>
      <c r="O99" s="132"/>
      <c r="P99" s="132"/>
    </row>
    <row r="100" spans="1:16" hidden="1">
      <c r="A100" s="132"/>
      <c r="B100" s="132"/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</row>
    <row r="101" spans="1:16" hidden="1">
      <c r="A101" s="132"/>
      <c r="B101" s="132"/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132"/>
      <c r="O101" s="132"/>
      <c r="P101" s="132"/>
    </row>
    <row r="102" spans="1:16" hidden="1">
      <c r="A102" s="132"/>
      <c r="B102" s="132"/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2"/>
      <c r="O102" s="132"/>
      <c r="P102" s="132"/>
    </row>
    <row r="103" spans="1:16" hidden="1">
      <c r="A103" s="132"/>
      <c r="B103" s="132"/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2"/>
      <c r="O103" s="132"/>
      <c r="P103" s="132"/>
    </row>
    <row r="104" spans="1:16" hidden="1">
      <c r="A104" s="132"/>
      <c r="B104" s="132"/>
      <c r="D104" s="132"/>
      <c r="E104" s="132"/>
      <c r="F104" s="132"/>
      <c r="G104" s="132"/>
      <c r="H104" s="132"/>
      <c r="I104" s="132"/>
      <c r="J104" s="132"/>
      <c r="K104" s="132"/>
      <c r="L104" s="132"/>
      <c r="M104" s="132"/>
      <c r="N104" s="132"/>
      <c r="O104" s="132"/>
      <c r="P104" s="132"/>
    </row>
    <row r="105" spans="1:16" hidden="1">
      <c r="A105" s="132"/>
      <c r="B105" s="132"/>
      <c r="D105" s="132"/>
      <c r="E105" s="132"/>
      <c r="F105" s="132"/>
      <c r="G105" s="132"/>
      <c r="H105" s="132"/>
      <c r="I105" s="132"/>
      <c r="J105" s="132"/>
      <c r="K105" s="132"/>
      <c r="L105" s="132"/>
      <c r="M105" s="132"/>
      <c r="N105" s="132"/>
      <c r="O105" s="132"/>
      <c r="P105" s="132"/>
    </row>
    <row r="106" spans="1:16" hidden="1">
      <c r="A106" s="132"/>
      <c r="B106" s="132"/>
      <c r="D106" s="132"/>
      <c r="E106" s="132"/>
      <c r="F106" s="132"/>
      <c r="G106" s="132"/>
      <c r="H106" s="132"/>
      <c r="I106" s="132"/>
      <c r="J106" s="132"/>
      <c r="K106" s="132"/>
      <c r="L106" s="132"/>
      <c r="M106" s="132"/>
      <c r="N106" s="132"/>
      <c r="O106" s="132"/>
      <c r="P106" s="132"/>
    </row>
    <row r="107" spans="1:16" hidden="1">
      <c r="A107" s="132"/>
      <c r="B107" s="132"/>
      <c r="D107" s="132"/>
      <c r="E107" s="132"/>
      <c r="F107" s="132"/>
      <c r="G107" s="132"/>
      <c r="H107" s="132"/>
      <c r="I107" s="132"/>
      <c r="J107" s="132"/>
      <c r="K107" s="132"/>
      <c r="L107" s="132"/>
      <c r="M107" s="132"/>
      <c r="N107" s="132"/>
      <c r="O107" s="132"/>
      <c r="P107" s="132"/>
    </row>
    <row r="108" spans="1:16" hidden="1">
      <c r="A108" s="132"/>
      <c r="B108" s="132"/>
      <c r="D108" s="132"/>
      <c r="E108" s="132"/>
      <c r="F108" s="132"/>
      <c r="G108" s="132"/>
      <c r="H108" s="132"/>
      <c r="I108" s="132"/>
      <c r="J108" s="132"/>
      <c r="K108" s="132"/>
      <c r="L108" s="132"/>
      <c r="M108" s="132"/>
      <c r="N108" s="132"/>
      <c r="O108" s="132"/>
      <c r="P108" s="132"/>
    </row>
    <row r="109" spans="1:16" hidden="1">
      <c r="A109" s="132"/>
      <c r="B109" s="132"/>
      <c r="D109" s="132"/>
      <c r="E109" s="132"/>
      <c r="F109" s="132"/>
      <c r="G109" s="132"/>
      <c r="H109" s="132"/>
      <c r="I109" s="132"/>
      <c r="J109" s="132"/>
      <c r="K109" s="132"/>
      <c r="L109" s="132"/>
      <c r="M109" s="132"/>
      <c r="N109" s="132"/>
      <c r="O109" s="132"/>
      <c r="P109" s="132"/>
    </row>
    <row r="110" spans="1:16" hidden="1">
      <c r="A110" s="132"/>
      <c r="B110" s="132"/>
      <c r="D110" s="132"/>
      <c r="E110" s="132"/>
      <c r="F110" s="132"/>
      <c r="G110" s="132"/>
      <c r="H110" s="132"/>
      <c r="I110" s="132"/>
      <c r="J110" s="132"/>
      <c r="K110" s="132"/>
      <c r="L110" s="132"/>
      <c r="M110" s="132"/>
      <c r="N110" s="132"/>
      <c r="O110" s="132"/>
      <c r="P110" s="132"/>
    </row>
    <row r="111" spans="1:16" hidden="1">
      <c r="A111" s="132"/>
      <c r="B111" s="132"/>
      <c r="D111" s="132"/>
      <c r="E111" s="132"/>
      <c r="F111" s="132"/>
      <c r="G111" s="132"/>
      <c r="H111" s="132"/>
      <c r="I111" s="132"/>
      <c r="J111" s="132"/>
      <c r="K111" s="132"/>
      <c r="L111" s="132"/>
      <c r="M111" s="132"/>
      <c r="N111" s="132"/>
      <c r="O111" s="132"/>
      <c r="P111" s="132"/>
    </row>
    <row r="112" spans="1:16" hidden="1">
      <c r="A112" s="132"/>
      <c r="B112" s="132"/>
      <c r="D112" s="132"/>
      <c r="E112" s="132"/>
      <c r="F112" s="132"/>
      <c r="G112" s="132"/>
      <c r="H112" s="132"/>
      <c r="I112" s="132"/>
      <c r="J112" s="132"/>
      <c r="K112" s="132"/>
      <c r="L112" s="132"/>
      <c r="M112" s="132"/>
      <c r="N112" s="132"/>
      <c r="O112" s="132"/>
      <c r="P112" s="132"/>
    </row>
    <row r="113" spans="1:16" hidden="1">
      <c r="A113" s="132"/>
      <c r="B113" s="132"/>
      <c r="D113" s="132"/>
      <c r="E113" s="132"/>
      <c r="F113" s="132"/>
      <c r="G113" s="132"/>
      <c r="H113" s="132"/>
      <c r="I113" s="132"/>
      <c r="J113" s="132"/>
      <c r="K113" s="132"/>
      <c r="L113" s="132"/>
      <c r="M113" s="132"/>
      <c r="N113" s="132"/>
      <c r="O113" s="132"/>
      <c r="P113" s="132"/>
    </row>
    <row r="114" spans="1:16" hidden="1">
      <c r="A114" s="132"/>
      <c r="B114" s="132"/>
      <c r="D114" s="132"/>
      <c r="E114" s="132"/>
      <c r="F114" s="132"/>
      <c r="G114" s="132"/>
      <c r="H114" s="132"/>
      <c r="I114" s="132"/>
      <c r="J114" s="132"/>
      <c r="K114" s="132"/>
      <c r="L114" s="132"/>
      <c r="M114" s="132"/>
      <c r="N114" s="132"/>
      <c r="O114" s="132"/>
      <c r="P114" s="132"/>
    </row>
    <row r="115" spans="1:16" hidden="1">
      <c r="A115" s="132"/>
      <c r="B115" s="132"/>
      <c r="D115" s="132"/>
      <c r="E115" s="132"/>
      <c r="F115" s="132"/>
      <c r="G115" s="132"/>
      <c r="H115" s="132"/>
      <c r="I115" s="132"/>
      <c r="J115" s="132"/>
      <c r="K115" s="132"/>
      <c r="L115" s="132"/>
      <c r="M115" s="132"/>
      <c r="N115" s="132"/>
      <c r="O115" s="132"/>
      <c r="P115" s="132"/>
    </row>
    <row r="116" spans="1:16" hidden="1">
      <c r="A116" s="132"/>
      <c r="B116" s="132"/>
      <c r="D116" s="132"/>
      <c r="E116" s="132"/>
      <c r="F116" s="132"/>
      <c r="G116" s="132"/>
      <c r="H116" s="132"/>
      <c r="I116" s="132"/>
      <c r="J116" s="132"/>
      <c r="K116" s="132"/>
      <c r="L116" s="132"/>
      <c r="M116" s="132"/>
      <c r="N116" s="132"/>
      <c r="O116" s="132"/>
      <c r="P116" s="132"/>
    </row>
    <row r="117" spans="1:16" hidden="1">
      <c r="A117" s="132"/>
      <c r="B117" s="132"/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  <c r="O117" s="132"/>
      <c r="P117" s="132"/>
    </row>
    <row r="118" spans="1:16" hidden="1">
      <c r="A118" s="132"/>
      <c r="B118" s="132"/>
      <c r="D118" s="132"/>
      <c r="E118" s="132"/>
      <c r="F118" s="132"/>
      <c r="G118" s="132"/>
      <c r="H118" s="132"/>
      <c r="I118" s="132"/>
      <c r="J118" s="132"/>
      <c r="K118" s="132"/>
      <c r="L118" s="132"/>
      <c r="M118" s="132"/>
      <c r="N118" s="132"/>
      <c r="O118" s="132"/>
      <c r="P118" s="132"/>
    </row>
    <row r="119" spans="1:16" hidden="1">
      <c r="A119" s="132"/>
      <c r="B119" s="132"/>
      <c r="D119" s="132"/>
      <c r="E119" s="132"/>
      <c r="F119" s="132"/>
      <c r="G119" s="132"/>
      <c r="H119" s="132"/>
      <c r="I119" s="132"/>
      <c r="J119" s="132"/>
      <c r="K119" s="132"/>
      <c r="L119" s="132"/>
      <c r="M119" s="132"/>
      <c r="N119" s="132"/>
      <c r="O119" s="132"/>
      <c r="P119" s="132"/>
    </row>
    <row r="120" spans="1:16" hidden="1">
      <c r="A120" s="132"/>
      <c r="B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</row>
    <row r="121" spans="1:16" hidden="1">
      <c r="A121" s="132"/>
      <c r="B121" s="132"/>
      <c r="D121" s="132"/>
      <c r="E121" s="132"/>
      <c r="F121" s="132"/>
      <c r="G121" s="132"/>
      <c r="H121" s="132"/>
      <c r="I121" s="132"/>
      <c r="J121" s="132"/>
      <c r="K121" s="132"/>
      <c r="L121" s="132"/>
      <c r="M121" s="132"/>
      <c r="N121" s="132"/>
      <c r="O121" s="132"/>
      <c r="P121" s="132"/>
    </row>
    <row r="122" spans="1:16" hidden="1">
      <c r="A122" s="132"/>
      <c r="B122" s="132"/>
      <c r="D122" s="132"/>
      <c r="E122" s="132"/>
      <c r="F122" s="132"/>
      <c r="G122" s="132"/>
      <c r="H122" s="132"/>
      <c r="I122" s="132"/>
      <c r="J122" s="132"/>
      <c r="K122" s="132"/>
      <c r="L122" s="132"/>
      <c r="M122" s="132"/>
      <c r="N122" s="132"/>
      <c r="O122" s="132"/>
      <c r="P122" s="132"/>
    </row>
    <row r="123" spans="1:16" hidden="1">
      <c r="A123" s="132"/>
      <c r="B123" s="132"/>
      <c r="D123" s="132"/>
      <c r="E123" s="132"/>
      <c r="F123" s="132"/>
      <c r="G123" s="132"/>
      <c r="H123" s="132"/>
      <c r="I123" s="132"/>
      <c r="J123" s="132"/>
      <c r="K123" s="132"/>
      <c r="L123" s="132"/>
      <c r="M123" s="132"/>
      <c r="N123" s="132"/>
      <c r="O123" s="132"/>
      <c r="P123" s="132"/>
    </row>
    <row r="124" spans="1:16" hidden="1">
      <c r="A124" s="132"/>
      <c r="B124" s="132"/>
      <c r="D124" s="132"/>
      <c r="E124" s="132"/>
      <c r="F124" s="132"/>
      <c r="G124" s="132"/>
      <c r="H124" s="132"/>
      <c r="I124" s="132"/>
      <c r="J124" s="132"/>
      <c r="K124" s="132"/>
      <c r="L124" s="132"/>
      <c r="M124" s="132"/>
      <c r="N124" s="132"/>
      <c r="O124" s="132"/>
      <c r="P124" s="132"/>
    </row>
    <row r="125" spans="1:16" hidden="1">
      <c r="A125" s="132"/>
      <c r="B125" s="132"/>
      <c r="D125" s="132"/>
      <c r="E125" s="132"/>
      <c r="F125" s="132"/>
      <c r="G125" s="132"/>
      <c r="H125" s="132"/>
      <c r="I125" s="132"/>
      <c r="J125" s="132"/>
      <c r="K125" s="132"/>
      <c r="L125" s="132"/>
      <c r="M125" s="132"/>
      <c r="N125" s="132"/>
      <c r="O125" s="132"/>
      <c r="P125" s="132"/>
    </row>
    <row r="126" spans="1:16" hidden="1">
      <c r="A126" s="132"/>
      <c r="B126" s="132"/>
      <c r="D126" s="132"/>
      <c r="E126" s="132"/>
      <c r="F126" s="132"/>
      <c r="G126" s="132"/>
      <c r="H126" s="132"/>
      <c r="I126" s="132"/>
      <c r="J126" s="132"/>
      <c r="K126" s="132"/>
      <c r="L126" s="132"/>
      <c r="M126" s="132"/>
      <c r="N126" s="132"/>
      <c r="O126" s="132"/>
      <c r="P126" s="132"/>
    </row>
    <row r="127" spans="1:16" hidden="1">
      <c r="A127" s="132"/>
      <c r="B127" s="132"/>
      <c r="D127" s="132"/>
      <c r="E127" s="132"/>
      <c r="F127" s="132"/>
      <c r="G127" s="132"/>
      <c r="H127" s="132"/>
      <c r="I127" s="132"/>
      <c r="J127" s="132"/>
      <c r="K127" s="132"/>
      <c r="L127" s="132"/>
      <c r="M127" s="132"/>
      <c r="N127" s="132"/>
      <c r="O127" s="132"/>
      <c r="P127" s="132"/>
    </row>
    <row r="128" spans="1:16" hidden="1">
      <c r="A128" s="132"/>
      <c r="B128" s="132"/>
      <c r="D128" s="132"/>
      <c r="E128" s="132"/>
      <c r="F128" s="132"/>
      <c r="G128" s="132"/>
      <c r="H128" s="132"/>
      <c r="I128" s="132"/>
      <c r="J128" s="132"/>
      <c r="K128" s="132"/>
      <c r="L128" s="132"/>
      <c r="M128" s="132"/>
      <c r="N128" s="132"/>
      <c r="O128" s="132"/>
      <c r="P128" s="132"/>
    </row>
    <row r="129" spans="1:16" hidden="1">
      <c r="A129" s="132"/>
      <c r="B129" s="132"/>
      <c r="D129" s="132"/>
      <c r="E129" s="132"/>
      <c r="F129" s="132"/>
      <c r="G129" s="132"/>
      <c r="H129" s="132"/>
      <c r="I129" s="132"/>
      <c r="J129" s="132"/>
      <c r="K129" s="132"/>
      <c r="L129" s="132"/>
      <c r="M129" s="132"/>
      <c r="N129" s="132"/>
      <c r="O129" s="132"/>
      <c r="P129" s="132"/>
    </row>
    <row r="130" spans="1:16" hidden="1">
      <c r="A130" s="132"/>
      <c r="B130" s="132"/>
      <c r="D130" s="132"/>
      <c r="E130" s="132"/>
      <c r="F130" s="132"/>
      <c r="G130" s="132"/>
      <c r="H130" s="132"/>
      <c r="I130" s="132"/>
      <c r="J130" s="132"/>
      <c r="K130" s="132"/>
      <c r="L130" s="132"/>
      <c r="M130" s="132"/>
      <c r="N130" s="132"/>
      <c r="O130" s="132"/>
      <c r="P130" s="132"/>
    </row>
    <row r="131" spans="1:16" hidden="1">
      <c r="A131" s="132"/>
      <c r="B131" s="132"/>
      <c r="D131" s="132"/>
      <c r="E131" s="132"/>
      <c r="F131" s="132"/>
      <c r="G131" s="132"/>
      <c r="H131" s="132"/>
      <c r="I131" s="132"/>
      <c r="J131" s="132"/>
      <c r="K131" s="132"/>
      <c r="L131" s="132"/>
      <c r="M131" s="132"/>
      <c r="N131" s="132"/>
      <c r="O131" s="132"/>
      <c r="P131" s="132"/>
    </row>
    <row r="132" spans="1:16" hidden="1">
      <c r="A132" s="132"/>
      <c r="B132" s="132"/>
      <c r="D132" s="132"/>
      <c r="E132" s="132"/>
      <c r="F132" s="132"/>
      <c r="G132" s="132"/>
      <c r="H132" s="132"/>
      <c r="I132" s="132"/>
      <c r="J132" s="132"/>
      <c r="K132" s="132"/>
      <c r="L132" s="132"/>
      <c r="M132" s="132"/>
      <c r="N132" s="132"/>
      <c r="O132" s="132"/>
      <c r="P132" s="132"/>
    </row>
    <row r="133" spans="1:16" hidden="1">
      <c r="A133" s="132"/>
      <c r="B133" s="132"/>
      <c r="D133" s="132"/>
      <c r="E133" s="132"/>
      <c r="F133" s="132"/>
      <c r="G133" s="132"/>
      <c r="H133" s="132"/>
      <c r="I133" s="132"/>
      <c r="J133" s="132"/>
      <c r="K133" s="132"/>
      <c r="L133" s="132"/>
      <c r="M133" s="132"/>
      <c r="N133" s="132"/>
      <c r="O133" s="132"/>
      <c r="P133" s="132"/>
    </row>
    <row r="134" spans="1:16" hidden="1">
      <c r="A134" s="132"/>
      <c r="B134" s="132"/>
      <c r="D134" s="132"/>
      <c r="E134" s="132"/>
      <c r="F134" s="132"/>
      <c r="G134" s="132"/>
      <c r="H134" s="132"/>
      <c r="I134" s="132"/>
      <c r="J134" s="132"/>
      <c r="K134" s="132"/>
      <c r="L134" s="132"/>
      <c r="M134" s="132"/>
      <c r="N134" s="132"/>
      <c r="O134" s="132"/>
      <c r="P134" s="132"/>
    </row>
    <row r="135" spans="1:16" hidden="1">
      <c r="A135" s="132"/>
      <c r="B135" s="132"/>
      <c r="D135" s="132"/>
      <c r="E135" s="132"/>
      <c r="F135" s="132"/>
      <c r="G135" s="132"/>
      <c r="H135" s="132"/>
      <c r="I135" s="132"/>
      <c r="J135" s="132"/>
      <c r="K135" s="132"/>
      <c r="L135" s="132"/>
      <c r="M135" s="132"/>
      <c r="N135" s="132"/>
      <c r="O135" s="132"/>
      <c r="P135" s="132"/>
    </row>
    <row r="136" spans="1:16" hidden="1">
      <c r="A136" s="132"/>
      <c r="B136" s="132"/>
      <c r="D136" s="132"/>
      <c r="E136" s="132"/>
      <c r="F136" s="132"/>
      <c r="G136" s="132"/>
      <c r="H136" s="132"/>
      <c r="I136" s="132"/>
      <c r="J136" s="132"/>
      <c r="K136" s="132"/>
      <c r="L136" s="132"/>
      <c r="M136" s="132"/>
      <c r="N136" s="132"/>
      <c r="O136" s="132"/>
      <c r="P136" s="132"/>
    </row>
    <row r="137" spans="1:16" hidden="1">
      <c r="A137" s="132"/>
      <c r="B137" s="132"/>
      <c r="D137" s="132"/>
      <c r="E137" s="132"/>
      <c r="F137" s="132"/>
      <c r="G137" s="132"/>
      <c r="H137" s="132"/>
      <c r="I137" s="132"/>
      <c r="J137" s="132"/>
      <c r="K137" s="132"/>
      <c r="L137" s="132"/>
      <c r="M137" s="132"/>
      <c r="N137" s="132"/>
      <c r="O137" s="132"/>
      <c r="P137" s="132"/>
    </row>
    <row r="138" spans="1:16" hidden="1">
      <c r="A138" s="132"/>
      <c r="B138" s="132"/>
      <c r="D138" s="132"/>
      <c r="E138" s="132"/>
      <c r="F138" s="132"/>
      <c r="G138" s="132"/>
      <c r="H138" s="132"/>
      <c r="I138" s="132"/>
      <c r="J138" s="132"/>
      <c r="K138" s="132"/>
      <c r="L138" s="132"/>
      <c r="M138" s="132"/>
      <c r="N138" s="132"/>
      <c r="O138" s="132"/>
      <c r="P138" s="132"/>
    </row>
    <row r="139" spans="1:16" hidden="1">
      <c r="A139" s="132"/>
      <c r="B139" s="132"/>
      <c r="D139" s="132"/>
      <c r="E139" s="132"/>
      <c r="F139" s="132"/>
      <c r="G139" s="132"/>
      <c r="H139" s="132"/>
      <c r="I139" s="132"/>
      <c r="J139" s="132"/>
      <c r="K139" s="132"/>
      <c r="L139" s="132"/>
      <c r="M139" s="132"/>
      <c r="N139" s="132"/>
      <c r="O139" s="132"/>
      <c r="P139" s="132"/>
    </row>
    <row r="140" spans="1:16" hidden="1">
      <c r="A140" s="132"/>
      <c r="B140" s="132"/>
      <c r="D140" s="132"/>
      <c r="E140" s="132"/>
      <c r="F140" s="132"/>
      <c r="G140" s="132"/>
      <c r="H140" s="132"/>
      <c r="I140" s="132"/>
      <c r="J140" s="132"/>
      <c r="K140" s="132"/>
      <c r="L140" s="132"/>
      <c r="M140" s="132"/>
      <c r="N140" s="132"/>
      <c r="O140" s="132"/>
      <c r="P140" s="132"/>
    </row>
    <row r="141" spans="1:16" hidden="1">
      <c r="A141" s="132"/>
      <c r="B141" s="132"/>
      <c r="D141" s="132"/>
      <c r="E141" s="132"/>
      <c r="F141" s="132"/>
      <c r="G141" s="132"/>
      <c r="H141" s="132"/>
      <c r="I141" s="132"/>
      <c r="J141" s="132"/>
      <c r="K141" s="132"/>
      <c r="L141" s="132"/>
      <c r="M141" s="132"/>
      <c r="N141" s="132"/>
      <c r="O141" s="132"/>
      <c r="P141" s="132"/>
    </row>
    <row r="142" spans="1:16" hidden="1">
      <c r="A142" s="132"/>
      <c r="B142" s="132"/>
      <c r="D142" s="132"/>
      <c r="E142" s="132"/>
      <c r="F142" s="132"/>
      <c r="G142" s="132"/>
      <c r="H142" s="132"/>
      <c r="I142" s="132"/>
      <c r="J142" s="132"/>
      <c r="K142" s="132"/>
      <c r="L142" s="132"/>
      <c r="M142" s="132"/>
      <c r="N142" s="132"/>
      <c r="O142" s="132"/>
      <c r="P142" s="132"/>
    </row>
    <row r="143" spans="1:16" hidden="1">
      <c r="A143" s="132"/>
      <c r="B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132"/>
      <c r="N143" s="132"/>
      <c r="O143" s="132"/>
      <c r="P143" s="132"/>
    </row>
    <row r="144" spans="1:16" hidden="1">
      <c r="A144" s="132"/>
      <c r="B144" s="132"/>
      <c r="D144" s="132"/>
      <c r="E144" s="132"/>
      <c r="F144" s="132"/>
      <c r="G144" s="132"/>
      <c r="H144" s="132"/>
      <c r="I144" s="132"/>
      <c r="J144" s="132"/>
      <c r="K144" s="132"/>
      <c r="L144" s="132"/>
      <c r="M144" s="132"/>
      <c r="N144" s="132"/>
      <c r="O144" s="132"/>
      <c r="P144" s="132"/>
    </row>
    <row r="145" spans="1:16" hidden="1">
      <c r="A145" s="132"/>
      <c r="B145" s="132"/>
      <c r="D145" s="132"/>
      <c r="E145" s="132"/>
      <c r="F145" s="132"/>
      <c r="G145" s="132"/>
      <c r="H145" s="132"/>
      <c r="I145" s="132"/>
      <c r="J145" s="132"/>
      <c r="K145" s="132"/>
      <c r="L145" s="132"/>
      <c r="M145" s="132"/>
      <c r="N145" s="132"/>
      <c r="O145" s="132"/>
      <c r="P145" s="132"/>
    </row>
    <row r="146" spans="1:16" hidden="1">
      <c r="A146" s="132"/>
      <c r="B146" s="132"/>
      <c r="D146" s="132"/>
      <c r="E146" s="132"/>
      <c r="F146" s="132"/>
      <c r="G146" s="132"/>
      <c r="H146" s="132"/>
      <c r="I146" s="132"/>
      <c r="J146" s="132"/>
      <c r="K146" s="132"/>
      <c r="L146" s="132"/>
      <c r="M146" s="132"/>
      <c r="N146" s="132"/>
      <c r="O146" s="132"/>
      <c r="P146" s="132"/>
    </row>
    <row r="147" spans="1:16" hidden="1">
      <c r="A147" s="132"/>
      <c r="B147" s="132"/>
      <c r="D147" s="132"/>
      <c r="E147" s="132"/>
      <c r="F147" s="132"/>
      <c r="G147" s="132"/>
      <c r="H147" s="132"/>
      <c r="I147" s="132"/>
      <c r="J147" s="132"/>
      <c r="K147" s="132"/>
      <c r="L147" s="132"/>
      <c r="M147" s="132"/>
      <c r="N147" s="132"/>
      <c r="O147" s="132"/>
      <c r="P147" s="132"/>
    </row>
    <row r="148" spans="1:16" hidden="1">
      <c r="A148" s="132"/>
      <c r="B148" s="132"/>
      <c r="D148" s="132"/>
      <c r="E148" s="132"/>
      <c r="F148" s="132"/>
      <c r="G148" s="132"/>
      <c r="H148" s="132"/>
      <c r="I148" s="132"/>
      <c r="J148" s="132"/>
      <c r="K148" s="132"/>
      <c r="L148" s="132"/>
      <c r="M148" s="132"/>
      <c r="N148" s="132"/>
      <c r="O148" s="132"/>
      <c r="P148" s="132"/>
    </row>
    <row r="149" spans="1:16" hidden="1">
      <c r="A149" s="132"/>
      <c r="B149" s="132"/>
      <c r="D149" s="132"/>
      <c r="E149" s="132"/>
      <c r="F149" s="132"/>
      <c r="G149" s="132"/>
      <c r="H149" s="132"/>
      <c r="I149" s="132"/>
      <c r="J149" s="132"/>
      <c r="K149" s="132"/>
      <c r="L149" s="132"/>
      <c r="M149" s="132"/>
      <c r="N149" s="132"/>
      <c r="O149" s="132"/>
      <c r="P149" s="132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showGridLines="0" showZeros="0" workbookViewId="0">
      <pane ySplit="7" topLeftCell="A92" activePane="bottomLeft" state="frozen"/>
      <selection pane="bottomLeft" activeCell="H79" sqref="H79"/>
    </sheetView>
  </sheetViews>
  <sheetFormatPr defaultColWidth="0" defaultRowHeight="12.75"/>
  <cols>
    <col min="1" max="1" width="4.7109375" style="132" customWidth="1"/>
    <col min="2" max="2" width="34.28515625" style="132" customWidth="1"/>
    <col min="3" max="3" width="7.5703125" style="106" bestFit="1" customWidth="1"/>
    <col min="4" max="4" width="9" style="106" customWidth="1"/>
    <col min="5" max="5" width="9.140625" style="106" customWidth="1"/>
    <col min="6" max="6" width="9.7109375" style="106" customWidth="1"/>
    <col min="7" max="8" width="9" style="106" customWidth="1"/>
    <col min="9" max="9" width="11.5703125" style="106" customWidth="1"/>
    <col min="10" max="10" width="9.28515625" style="132" customWidth="1"/>
    <col min="11" max="16384" width="0" style="132" hidden="1"/>
  </cols>
  <sheetData>
    <row r="1" spans="1:9">
      <c r="B1" s="696">
        <v>1</v>
      </c>
      <c r="C1" s="696"/>
      <c r="F1" s="497">
        <f>SUM(D2,G1)</f>
        <v>62404.949179999996</v>
      </c>
      <c r="G1" s="497">
        <f>SUM(G2:G4)</f>
        <v>61461.474179999997</v>
      </c>
      <c r="I1" s="133" t="s">
        <v>691</v>
      </c>
    </row>
    <row r="2" spans="1:9">
      <c r="B2" s="697" t="s">
        <v>395</v>
      </c>
      <c r="C2" s="697"/>
      <c r="D2" s="497">
        <f>E2*F2/1000</f>
        <v>943.47500000000002</v>
      </c>
      <c r="E2" s="106">
        <v>65</v>
      </c>
      <c r="F2" s="497">
        <v>14515</v>
      </c>
      <c r="G2" s="497">
        <f>H2*I2/1000</f>
        <v>18408.599039999997</v>
      </c>
      <c r="H2" s="106">
        <v>39.229999999999997</v>
      </c>
      <c r="I2" s="497">
        <v>469248</v>
      </c>
    </row>
    <row r="3" spans="1:9">
      <c r="A3" s="152"/>
      <c r="B3" s="697" t="str">
        <f>'ТИП-ПРОИЗ'!$B$3:$C$3</f>
        <v>"Топлофикация- Перник" АД</v>
      </c>
      <c r="C3" s="697"/>
      <c r="D3" s="152"/>
      <c r="E3" s="152"/>
      <c r="F3" s="152"/>
      <c r="G3" s="497">
        <f>H3*I3/1000</f>
        <v>12665.770560000001</v>
      </c>
      <c r="H3" s="677">
        <v>61.47</v>
      </c>
      <c r="I3" s="687">
        <v>206048</v>
      </c>
    </row>
    <row r="4" spans="1:9" ht="13.5" thickBot="1">
      <c r="A4" s="160"/>
      <c r="B4" s="160"/>
      <c r="C4" s="160"/>
      <c r="D4" s="160"/>
      <c r="E4" s="160"/>
      <c r="F4" s="160"/>
      <c r="G4" s="497">
        <f>H4*I4/1000</f>
        <v>30387.104579999999</v>
      </c>
      <c r="H4" s="160">
        <v>121.21</v>
      </c>
      <c r="I4" s="688">
        <v>250698</v>
      </c>
    </row>
    <row r="5" spans="1:9" ht="13.5" thickTop="1">
      <c r="A5" s="701" t="s">
        <v>0</v>
      </c>
      <c r="B5" s="703" t="s">
        <v>1</v>
      </c>
      <c r="C5" s="703" t="s">
        <v>2</v>
      </c>
      <c r="D5" s="705">
        <f>'ТИП-ПРОИЗ'!E6</f>
        <v>2015.0000000000023</v>
      </c>
      <c r="E5" s="705"/>
      <c r="F5" s="705"/>
      <c r="G5" s="698">
        <f>'ТИП-ПРОИЗ'!F6</f>
        <v>7.2016</v>
      </c>
      <c r="H5" s="699"/>
      <c r="I5" s="700"/>
    </row>
    <row r="6" spans="1:9">
      <c r="A6" s="702"/>
      <c r="B6" s="704"/>
      <c r="C6" s="704"/>
      <c r="D6" s="161" t="s">
        <v>256</v>
      </c>
      <c r="E6" s="161" t="s">
        <v>85</v>
      </c>
      <c r="F6" s="162" t="s">
        <v>152</v>
      </c>
      <c r="G6" s="161" t="s">
        <v>256</v>
      </c>
      <c r="H6" s="161" t="s">
        <v>85</v>
      </c>
      <c r="I6" s="514" t="s">
        <v>152</v>
      </c>
    </row>
    <row r="7" spans="1:9">
      <c r="A7" s="163">
        <v>1</v>
      </c>
      <c r="B7" s="164">
        <v>2</v>
      </c>
      <c r="C7" s="164">
        <v>3</v>
      </c>
      <c r="D7" s="164">
        <v>4</v>
      </c>
      <c r="E7" s="164">
        <v>5</v>
      </c>
      <c r="F7" s="164" t="s">
        <v>80</v>
      </c>
      <c r="G7" s="164">
        <v>7</v>
      </c>
      <c r="H7" s="164">
        <v>8</v>
      </c>
      <c r="I7" s="165" t="s">
        <v>79</v>
      </c>
    </row>
    <row r="8" spans="1:9">
      <c r="A8" s="166" t="s">
        <v>133</v>
      </c>
      <c r="B8" s="167" t="s">
        <v>151</v>
      </c>
      <c r="C8" s="168" t="s">
        <v>3</v>
      </c>
      <c r="D8" s="130">
        <f>SUM(D9:D10)</f>
        <v>53105.461438577404</v>
      </c>
      <c r="E8" s="130">
        <f>SUM(E9:E10)</f>
        <v>5049</v>
      </c>
      <c r="F8" s="169">
        <f>SUM(D8:E8)</f>
        <v>58154.461438577404</v>
      </c>
      <c r="G8" s="130">
        <f>SUM(G9:G10)</f>
        <v>64531.796335923835</v>
      </c>
      <c r="H8" s="130">
        <f>SUM(H9:H10)</f>
        <v>6505.4225999999999</v>
      </c>
      <c r="I8" s="170">
        <f>SUM(G8:H8)</f>
        <v>71037.21893592384</v>
      </c>
    </row>
    <row r="9" spans="1:9">
      <c r="A9" s="171" t="s">
        <v>143</v>
      </c>
      <c r="B9" s="172" t="s">
        <v>39</v>
      </c>
      <c r="C9" s="173" t="s">
        <v>3</v>
      </c>
      <c r="D9" s="174">
        <f>РБА!D76*НВ!F$21</f>
        <v>1963.2911999999999</v>
      </c>
      <c r="E9" s="174"/>
      <c r="F9" s="175">
        <f>SUM(D9,E9)</f>
        <v>1963.2911999999999</v>
      </c>
      <c r="G9" s="174">
        <f>РБА!G76*НВ!G$21</f>
        <v>2206.0735</v>
      </c>
      <c r="H9" s="174">
        <f>РБА!H76*НВ!G$21</f>
        <v>1182.9225999999999</v>
      </c>
      <c r="I9" s="176">
        <f>SUM(G9,H9)</f>
        <v>3388.9960999999998</v>
      </c>
    </row>
    <row r="10" spans="1:9" ht="25.5">
      <c r="A10" s="166" t="s">
        <v>103</v>
      </c>
      <c r="B10" s="177" t="s">
        <v>173</v>
      </c>
      <c r="C10" s="178" t="s">
        <v>3</v>
      </c>
      <c r="D10" s="130">
        <f>SUM(D11,D61)</f>
        <v>51142.170238577404</v>
      </c>
      <c r="E10" s="130">
        <f>SUM(E11,E61)</f>
        <v>5049</v>
      </c>
      <c r="F10" s="169">
        <f t="shared" ref="F10:F27" si="0">SUM(D10:E10)</f>
        <v>56191.170238577404</v>
      </c>
      <c r="G10" s="130">
        <f>SUM(G11,G61)</f>
        <v>62325.722835923836</v>
      </c>
      <c r="H10" s="130">
        <f>SUM(H11,H61)</f>
        <v>5322.5</v>
      </c>
      <c r="I10" s="170">
        <f t="shared" ref="I10:I27" si="1">SUM(G10:H10)</f>
        <v>67648.222835923836</v>
      </c>
    </row>
    <row r="11" spans="1:9">
      <c r="A11" s="179" t="s">
        <v>144</v>
      </c>
      <c r="B11" s="180" t="s">
        <v>169</v>
      </c>
      <c r="C11" s="181" t="s">
        <v>3</v>
      </c>
      <c r="D11" s="130">
        <f>SUM(D13,D18,D23:D24,D27,-D59,-D60)</f>
        <v>12651</v>
      </c>
      <c r="E11" s="130">
        <f>SUM(E13,E18,E23:E24,E27,-E59,-E60)</f>
        <v>4676</v>
      </c>
      <c r="F11" s="130">
        <f t="shared" si="0"/>
        <v>17327</v>
      </c>
      <c r="G11" s="130">
        <f>SUM(G13,G18,G23:G24,G27,-G59,-G60)</f>
        <v>13161.5</v>
      </c>
      <c r="H11" s="130">
        <f>SUM(H13,H18,H23:H24,H27,-H59,-H60)</f>
        <v>4889.5</v>
      </c>
      <c r="I11" s="182">
        <f t="shared" si="1"/>
        <v>18051</v>
      </c>
    </row>
    <row r="12" spans="1:9">
      <c r="A12" s="179" t="s">
        <v>145</v>
      </c>
      <c r="B12" s="183" t="s">
        <v>448</v>
      </c>
      <c r="C12" s="181" t="s">
        <v>3</v>
      </c>
      <c r="D12" s="130">
        <f>SUM(D11,-D13)</f>
        <v>7959</v>
      </c>
      <c r="E12" s="130">
        <f>SUM(E11,-E13)</f>
        <v>3149</v>
      </c>
      <c r="F12" s="130">
        <f t="shared" si="0"/>
        <v>11108</v>
      </c>
      <c r="G12" s="130">
        <f>SUM(G11,-G13)</f>
        <v>8469.5</v>
      </c>
      <c r="H12" s="130">
        <f>SUM(H11,-H13)</f>
        <v>3362.5</v>
      </c>
      <c r="I12" s="182">
        <f t="shared" si="1"/>
        <v>11832</v>
      </c>
    </row>
    <row r="13" spans="1:9">
      <c r="A13" s="184">
        <v>1</v>
      </c>
      <c r="B13" s="185" t="s">
        <v>4</v>
      </c>
      <c r="C13" s="186" t="s">
        <v>3</v>
      </c>
      <c r="D13" s="112">
        <f>SUM(D14:D15,D17)</f>
        <v>4692</v>
      </c>
      <c r="E13" s="112">
        <f>SUM(E14:E15,E17)</f>
        <v>1527</v>
      </c>
      <c r="F13" s="112">
        <f t="shared" si="0"/>
        <v>6219</v>
      </c>
      <c r="G13" s="112">
        <f>SUM(G14:G15,G17)</f>
        <v>4692</v>
      </c>
      <c r="H13" s="112">
        <f>SUM(H14:H15,H17)</f>
        <v>1527</v>
      </c>
      <c r="I13" s="187">
        <f t="shared" si="1"/>
        <v>6219</v>
      </c>
    </row>
    <row r="14" spans="1:9">
      <c r="A14" s="188" t="s">
        <v>262</v>
      </c>
      <c r="B14" s="120" t="s">
        <v>170</v>
      </c>
      <c r="C14" s="186" t="s">
        <v>3</v>
      </c>
      <c r="D14" s="81">
        <v>3284</v>
      </c>
      <c r="E14" s="71"/>
      <c r="F14" s="121">
        <f t="shared" si="0"/>
        <v>3284</v>
      </c>
      <c r="G14" s="81">
        <v>3284</v>
      </c>
      <c r="H14" s="71"/>
      <c r="I14" s="189">
        <f t="shared" si="1"/>
        <v>3284</v>
      </c>
    </row>
    <row r="15" spans="1:9">
      <c r="A15" s="188" t="s">
        <v>263</v>
      </c>
      <c r="B15" s="120" t="s">
        <v>445</v>
      </c>
      <c r="C15" s="186" t="s">
        <v>3</v>
      </c>
      <c r="D15" s="81">
        <v>1408</v>
      </c>
      <c r="E15" s="9">
        <v>1527</v>
      </c>
      <c r="F15" s="121">
        <f t="shared" si="0"/>
        <v>2935</v>
      </c>
      <c r="G15" s="81">
        <v>1408</v>
      </c>
      <c r="H15" s="9">
        <v>1527</v>
      </c>
      <c r="I15" s="189">
        <f t="shared" si="1"/>
        <v>2935</v>
      </c>
    </row>
    <row r="16" spans="1:9">
      <c r="A16" s="188"/>
      <c r="B16" s="120" t="s">
        <v>447</v>
      </c>
      <c r="C16" s="186" t="s">
        <v>3</v>
      </c>
      <c r="D16" s="81"/>
      <c r="E16" s="71"/>
      <c r="F16" s="121"/>
      <c r="G16" s="81"/>
      <c r="H16" s="71"/>
      <c r="I16" s="189"/>
    </row>
    <row r="17" spans="1:9">
      <c r="A17" s="188" t="s">
        <v>264</v>
      </c>
      <c r="B17" s="120" t="s">
        <v>127</v>
      </c>
      <c r="C17" s="186" t="s">
        <v>3</v>
      </c>
      <c r="D17" s="81"/>
      <c r="E17" s="71"/>
      <c r="F17" s="121">
        <f t="shared" si="0"/>
        <v>0</v>
      </c>
      <c r="G17" s="81"/>
      <c r="H17" s="71"/>
      <c r="I17" s="189">
        <f t="shared" si="1"/>
        <v>0</v>
      </c>
    </row>
    <row r="18" spans="1:9">
      <c r="A18" s="184">
        <v>2</v>
      </c>
      <c r="B18" s="185" t="s">
        <v>172</v>
      </c>
      <c r="C18" s="186" t="s">
        <v>3</v>
      </c>
      <c r="D18" s="112">
        <f>SUM(D19:D20,D22)</f>
        <v>314</v>
      </c>
      <c r="E18" s="112">
        <f>SUM(E19:E20,E22)</f>
        <v>134</v>
      </c>
      <c r="F18" s="112">
        <f t="shared" si="0"/>
        <v>448</v>
      </c>
      <c r="G18" s="112">
        <f>SUM(G19:G20,G22)</f>
        <v>640</v>
      </c>
      <c r="H18" s="112">
        <f>SUM(H19:H20,H22)</f>
        <v>272</v>
      </c>
      <c r="I18" s="187">
        <f t="shared" si="1"/>
        <v>912</v>
      </c>
    </row>
    <row r="19" spans="1:9">
      <c r="A19" s="190" t="s">
        <v>278</v>
      </c>
      <c r="B19" s="121" t="s">
        <v>171</v>
      </c>
      <c r="C19" s="186" t="s">
        <v>3</v>
      </c>
      <c r="D19" s="81">
        <v>314</v>
      </c>
      <c r="E19" s="71"/>
      <c r="F19" s="121">
        <f t="shared" si="0"/>
        <v>314</v>
      </c>
      <c r="G19" s="81">
        <f>320*2</f>
        <v>640</v>
      </c>
      <c r="H19" s="71"/>
      <c r="I19" s="189">
        <f t="shared" si="1"/>
        <v>640</v>
      </c>
    </row>
    <row r="20" spans="1:9">
      <c r="A20" s="190" t="s">
        <v>279</v>
      </c>
      <c r="B20" s="120" t="s">
        <v>445</v>
      </c>
      <c r="C20" s="186" t="s">
        <v>3</v>
      </c>
      <c r="D20" s="81"/>
      <c r="E20" s="9">
        <v>134</v>
      </c>
      <c r="F20" s="121">
        <f t="shared" si="0"/>
        <v>134</v>
      </c>
      <c r="G20" s="81"/>
      <c r="H20" s="9">
        <f>136*2</f>
        <v>272</v>
      </c>
      <c r="I20" s="189">
        <f t="shared" si="1"/>
        <v>272</v>
      </c>
    </row>
    <row r="21" spans="1:9">
      <c r="A21" s="190"/>
      <c r="B21" s="120" t="s">
        <v>446</v>
      </c>
      <c r="C21" s="186"/>
      <c r="D21" s="81"/>
      <c r="E21" s="71"/>
      <c r="F21" s="121"/>
      <c r="G21" s="81"/>
      <c r="H21" s="71"/>
      <c r="I21" s="189"/>
    </row>
    <row r="22" spans="1:9">
      <c r="A22" s="190" t="s">
        <v>282</v>
      </c>
      <c r="B22" s="120" t="s">
        <v>127</v>
      </c>
      <c r="C22" s="186" t="s">
        <v>3</v>
      </c>
      <c r="D22" s="81"/>
      <c r="E22" s="71"/>
      <c r="F22" s="121">
        <f t="shared" si="0"/>
        <v>0</v>
      </c>
      <c r="G22" s="81"/>
      <c r="H22" s="71"/>
      <c r="I22" s="189">
        <f t="shared" si="1"/>
        <v>0</v>
      </c>
    </row>
    <row r="23" spans="1:9">
      <c r="A23" s="184">
        <v>3</v>
      </c>
      <c r="B23" s="185" t="s">
        <v>119</v>
      </c>
      <c r="C23" s="186" t="s">
        <v>3</v>
      </c>
      <c r="D23" s="81">
        <v>4286</v>
      </c>
      <c r="E23" s="9">
        <v>1838</v>
      </c>
      <c r="F23" s="112">
        <f t="shared" si="0"/>
        <v>6124</v>
      </c>
      <c r="G23" s="81">
        <v>4300</v>
      </c>
      <c r="H23" s="9">
        <v>1840</v>
      </c>
      <c r="I23" s="187">
        <f t="shared" si="1"/>
        <v>6140</v>
      </c>
    </row>
    <row r="24" spans="1:9" ht="24">
      <c r="A24" s="184">
        <v>4</v>
      </c>
      <c r="B24" s="191" t="s">
        <v>317</v>
      </c>
      <c r="C24" s="186" t="s">
        <v>3</v>
      </c>
      <c r="D24" s="120">
        <f>SUM(D25:D26)</f>
        <v>1026</v>
      </c>
      <c r="E24" s="192">
        <f>SUM(E25:E26)</f>
        <v>423</v>
      </c>
      <c r="F24" s="112">
        <f t="shared" si="0"/>
        <v>1449</v>
      </c>
      <c r="G24" s="120">
        <f>SUM(G25:G26)</f>
        <v>1028</v>
      </c>
      <c r="H24" s="192">
        <f>SUM(H25:H26)</f>
        <v>425</v>
      </c>
      <c r="I24" s="187">
        <f t="shared" si="1"/>
        <v>1453</v>
      </c>
    </row>
    <row r="25" spans="1:9">
      <c r="A25" s="188" t="s">
        <v>257</v>
      </c>
      <c r="B25" s="193" t="s">
        <v>290</v>
      </c>
      <c r="C25" s="186" t="s">
        <v>3</v>
      </c>
      <c r="D25" s="55">
        <v>1026</v>
      </c>
      <c r="E25" s="9">
        <v>423</v>
      </c>
      <c r="F25" s="112">
        <f t="shared" si="0"/>
        <v>1449</v>
      </c>
      <c r="G25" s="55">
        <v>1028</v>
      </c>
      <c r="H25" s="9">
        <v>425</v>
      </c>
      <c r="I25" s="187">
        <f t="shared" si="1"/>
        <v>1453</v>
      </c>
    </row>
    <row r="26" spans="1:9">
      <c r="A26" s="188" t="s">
        <v>258</v>
      </c>
      <c r="B26" s="193" t="s">
        <v>291</v>
      </c>
      <c r="C26" s="186" t="s">
        <v>3</v>
      </c>
      <c r="D26" s="55"/>
      <c r="E26" s="9"/>
      <c r="F26" s="112">
        <f t="shared" si="0"/>
        <v>0</v>
      </c>
      <c r="G26" s="55"/>
      <c r="H26" s="9"/>
      <c r="I26" s="187">
        <f t="shared" si="1"/>
        <v>0</v>
      </c>
    </row>
    <row r="27" spans="1:9" ht="25.5">
      <c r="A27" s="184">
        <v>5</v>
      </c>
      <c r="B27" s="185" t="s">
        <v>748</v>
      </c>
      <c r="C27" s="186" t="s">
        <v>3</v>
      </c>
      <c r="D27" s="121">
        <f>SUM(D28:D57)</f>
        <v>2333</v>
      </c>
      <c r="E27" s="194">
        <f>SUM(E28:E57)</f>
        <v>754</v>
      </c>
      <c r="F27" s="112">
        <f t="shared" si="0"/>
        <v>3087</v>
      </c>
      <c r="G27" s="121">
        <f>SUM(G28:G57)</f>
        <v>2501.5</v>
      </c>
      <c r="H27" s="194">
        <f>SUM(H28:H57)</f>
        <v>825.5</v>
      </c>
      <c r="I27" s="187">
        <f t="shared" si="1"/>
        <v>3327</v>
      </c>
    </row>
    <row r="28" spans="1:9">
      <c r="A28" s="188" t="s">
        <v>269</v>
      </c>
      <c r="B28" s="193" t="s">
        <v>104</v>
      </c>
      <c r="C28" s="186" t="s">
        <v>3</v>
      </c>
      <c r="D28" s="55">
        <v>129</v>
      </c>
      <c r="E28" s="9">
        <v>56</v>
      </c>
      <c r="F28" s="121">
        <f t="shared" ref="F28:F78" si="2">SUM(D28:E28)</f>
        <v>185</v>
      </c>
      <c r="G28" s="55">
        <v>129</v>
      </c>
      <c r="H28" s="9">
        <v>56</v>
      </c>
      <c r="I28" s="189">
        <f t="shared" ref="I28:I51" si="3">SUM(G28:H28)</f>
        <v>185</v>
      </c>
    </row>
    <row r="29" spans="1:9">
      <c r="A29" s="188" t="s">
        <v>270</v>
      </c>
      <c r="B29" s="193" t="s">
        <v>105</v>
      </c>
      <c r="C29" s="186" t="s">
        <v>3</v>
      </c>
      <c r="D29" s="55">
        <v>47</v>
      </c>
      <c r="E29" s="9">
        <v>20</v>
      </c>
      <c r="F29" s="121">
        <f t="shared" si="2"/>
        <v>67</v>
      </c>
      <c r="G29" s="55">
        <v>47</v>
      </c>
      <c r="H29" s="9">
        <v>20</v>
      </c>
      <c r="I29" s="189">
        <f t="shared" si="3"/>
        <v>67</v>
      </c>
    </row>
    <row r="30" spans="1:9">
      <c r="A30" s="188" t="s">
        <v>271</v>
      </c>
      <c r="B30" s="193" t="s">
        <v>106</v>
      </c>
      <c r="C30" s="186" t="s">
        <v>3</v>
      </c>
      <c r="D30" s="55">
        <v>24</v>
      </c>
      <c r="E30" s="9">
        <v>11</v>
      </c>
      <c r="F30" s="121">
        <f t="shared" si="2"/>
        <v>35</v>
      </c>
      <c r="G30" s="55">
        <v>24</v>
      </c>
      <c r="H30" s="9">
        <v>11</v>
      </c>
      <c r="I30" s="189">
        <f t="shared" si="3"/>
        <v>35</v>
      </c>
    </row>
    <row r="31" spans="1:9">
      <c r="A31" s="188" t="s">
        <v>272</v>
      </c>
      <c r="B31" s="193" t="s">
        <v>107</v>
      </c>
      <c r="C31" s="186" t="s">
        <v>3</v>
      </c>
      <c r="D31" s="55">
        <v>335</v>
      </c>
      <c r="E31" s="9">
        <v>143</v>
      </c>
      <c r="F31" s="121">
        <f t="shared" si="2"/>
        <v>478</v>
      </c>
      <c r="G31" s="55">
        <f>335*1.5</f>
        <v>502.5</v>
      </c>
      <c r="H31" s="9">
        <f>143*1.5</f>
        <v>214.5</v>
      </c>
      <c r="I31" s="189">
        <f t="shared" si="3"/>
        <v>717</v>
      </c>
    </row>
    <row r="32" spans="1:9">
      <c r="A32" s="188" t="s">
        <v>273</v>
      </c>
      <c r="B32" s="193" t="s">
        <v>108</v>
      </c>
      <c r="C32" s="186" t="s">
        <v>3</v>
      </c>
      <c r="D32" s="55">
        <v>56</v>
      </c>
      <c r="E32" s="9">
        <v>24</v>
      </c>
      <c r="F32" s="121">
        <f t="shared" si="2"/>
        <v>80</v>
      </c>
      <c r="G32" s="55">
        <v>56</v>
      </c>
      <c r="H32" s="9">
        <v>24</v>
      </c>
      <c r="I32" s="189">
        <f t="shared" si="3"/>
        <v>80</v>
      </c>
    </row>
    <row r="33" spans="1:9">
      <c r="A33" s="188" t="s">
        <v>274</v>
      </c>
      <c r="B33" s="193" t="s">
        <v>109</v>
      </c>
      <c r="C33" s="186" t="s">
        <v>3</v>
      </c>
      <c r="D33" s="55">
        <v>108</v>
      </c>
      <c r="E33" s="9">
        <v>44</v>
      </c>
      <c r="F33" s="121">
        <f t="shared" si="2"/>
        <v>152</v>
      </c>
      <c r="G33" s="55">
        <v>108</v>
      </c>
      <c r="H33" s="9">
        <v>44</v>
      </c>
      <c r="I33" s="189">
        <f t="shared" si="3"/>
        <v>152</v>
      </c>
    </row>
    <row r="34" spans="1:9" ht="25.5">
      <c r="A34" s="188" t="s">
        <v>292</v>
      </c>
      <c r="B34" s="193" t="s">
        <v>110</v>
      </c>
      <c r="C34" s="186" t="s">
        <v>3</v>
      </c>
      <c r="D34" s="55">
        <v>21</v>
      </c>
      <c r="E34" s="9">
        <v>10</v>
      </c>
      <c r="F34" s="121">
        <f t="shared" si="2"/>
        <v>31</v>
      </c>
      <c r="G34" s="55">
        <v>21</v>
      </c>
      <c r="H34" s="9">
        <v>10</v>
      </c>
      <c r="I34" s="189">
        <f t="shared" si="3"/>
        <v>31</v>
      </c>
    </row>
    <row r="35" spans="1:9">
      <c r="A35" s="188" t="s">
        <v>293</v>
      </c>
      <c r="B35" s="193" t="s">
        <v>111</v>
      </c>
      <c r="C35" s="186" t="s">
        <v>3</v>
      </c>
      <c r="D35" s="55">
        <v>38</v>
      </c>
      <c r="E35" s="9">
        <v>16</v>
      </c>
      <c r="F35" s="121">
        <f t="shared" si="2"/>
        <v>54</v>
      </c>
      <c r="G35" s="55">
        <v>38</v>
      </c>
      <c r="H35" s="9">
        <v>16</v>
      </c>
      <c r="I35" s="189">
        <f t="shared" si="3"/>
        <v>54</v>
      </c>
    </row>
    <row r="36" spans="1:9">
      <c r="A36" s="188" t="s">
        <v>294</v>
      </c>
      <c r="B36" s="193" t="s">
        <v>112</v>
      </c>
      <c r="C36" s="186" t="s">
        <v>3</v>
      </c>
      <c r="D36" s="55">
        <v>326</v>
      </c>
      <c r="E36" s="9"/>
      <c r="F36" s="121">
        <f t="shared" si="2"/>
        <v>326</v>
      </c>
      <c r="G36" s="55">
        <v>326</v>
      </c>
      <c r="H36" s="9"/>
      <c r="I36" s="189">
        <f t="shared" si="3"/>
        <v>326</v>
      </c>
    </row>
    <row r="37" spans="1:9" ht="13.15" customHeight="1">
      <c r="A37" s="188" t="s">
        <v>310</v>
      </c>
      <c r="B37" s="193" t="s">
        <v>113</v>
      </c>
      <c r="C37" s="186" t="s">
        <v>3</v>
      </c>
      <c r="D37" s="55">
        <v>58</v>
      </c>
      <c r="E37" s="9"/>
      <c r="F37" s="121">
        <f t="shared" si="2"/>
        <v>58</v>
      </c>
      <c r="G37" s="55">
        <v>58</v>
      </c>
      <c r="H37" s="9"/>
      <c r="I37" s="189">
        <f t="shared" si="3"/>
        <v>58</v>
      </c>
    </row>
    <row r="38" spans="1:9" ht="13.15" customHeight="1">
      <c r="A38" s="188" t="s">
        <v>295</v>
      </c>
      <c r="B38" s="193" t="s">
        <v>114</v>
      </c>
      <c r="C38" s="186" t="s">
        <v>3</v>
      </c>
      <c r="D38" s="55"/>
      <c r="E38" s="9">
        <v>343</v>
      </c>
      <c r="F38" s="121">
        <f t="shared" si="2"/>
        <v>343</v>
      </c>
      <c r="G38" s="55"/>
      <c r="H38" s="9">
        <v>343</v>
      </c>
      <c r="I38" s="189">
        <f t="shared" si="3"/>
        <v>343</v>
      </c>
    </row>
    <row r="39" spans="1:9" ht="13.15" customHeight="1">
      <c r="A39" s="188" t="s">
        <v>296</v>
      </c>
      <c r="B39" s="193" t="s">
        <v>115</v>
      </c>
      <c r="C39" s="186" t="s">
        <v>3</v>
      </c>
      <c r="D39" s="55">
        <v>379</v>
      </c>
      <c r="E39" s="9"/>
      <c r="F39" s="121">
        <f t="shared" si="2"/>
        <v>379</v>
      </c>
      <c r="G39" s="55">
        <v>379</v>
      </c>
      <c r="H39" s="9"/>
      <c r="I39" s="189">
        <f t="shared" si="3"/>
        <v>379</v>
      </c>
    </row>
    <row r="40" spans="1:9" ht="13.15" customHeight="1">
      <c r="A40" s="188" t="s">
        <v>297</v>
      </c>
      <c r="B40" s="193" t="s">
        <v>116</v>
      </c>
      <c r="C40" s="186" t="s">
        <v>3</v>
      </c>
      <c r="D40" s="55">
        <v>11</v>
      </c>
      <c r="E40" s="9"/>
      <c r="F40" s="121">
        <f t="shared" si="2"/>
        <v>11</v>
      </c>
      <c r="G40" s="55">
        <v>11</v>
      </c>
      <c r="H40" s="64"/>
      <c r="I40" s="189">
        <f t="shared" si="3"/>
        <v>11</v>
      </c>
    </row>
    <row r="41" spans="1:9" ht="13.15" customHeight="1">
      <c r="A41" s="188" t="s">
        <v>298</v>
      </c>
      <c r="B41" s="193" t="s">
        <v>118</v>
      </c>
      <c r="C41" s="186" t="s">
        <v>3</v>
      </c>
      <c r="D41" s="55"/>
      <c r="E41" s="9"/>
      <c r="F41" s="121">
        <f t="shared" si="2"/>
        <v>0</v>
      </c>
      <c r="G41" s="55"/>
      <c r="H41" s="9"/>
      <c r="I41" s="189">
        <f t="shared" si="3"/>
        <v>0</v>
      </c>
    </row>
    <row r="42" spans="1:9" ht="13.15" customHeight="1">
      <c r="A42" s="188" t="s">
        <v>299</v>
      </c>
      <c r="B42" s="193" t="s">
        <v>120</v>
      </c>
      <c r="C42" s="186" t="s">
        <v>3</v>
      </c>
      <c r="D42" s="55">
        <v>278</v>
      </c>
      <c r="E42" s="9">
        <v>33</v>
      </c>
      <c r="F42" s="120">
        <f t="shared" ref="F42:F51" si="4">SUM(D42:E42)</f>
        <v>311</v>
      </c>
      <c r="G42" s="55">
        <v>278</v>
      </c>
      <c r="H42" s="69">
        <v>33</v>
      </c>
      <c r="I42" s="515">
        <f t="shared" si="3"/>
        <v>311</v>
      </c>
    </row>
    <row r="43" spans="1:9" ht="13.15" customHeight="1">
      <c r="A43" s="188" t="s">
        <v>300</v>
      </c>
      <c r="B43" s="193" t="s">
        <v>121</v>
      </c>
      <c r="C43" s="186" t="s">
        <v>3</v>
      </c>
      <c r="D43" s="55">
        <v>12</v>
      </c>
      <c r="E43" s="9"/>
      <c r="F43" s="120">
        <f t="shared" si="4"/>
        <v>12</v>
      </c>
      <c r="G43" s="55">
        <v>12</v>
      </c>
      <c r="H43" s="70"/>
      <c r="I43" s="515">
        <f t="shared" si="3"/>
        <v>12</v>
      </c>
    </row>
    <row r="44" spans="1:9" ht="13.15" customHeight="1">
      <c r="A44" s="188" t="s">
        <v>301</v>
      </c>
      <c r="B44" s="193" t="s">
        <v>122</v>
      </c>
      <c r="C44" s="186" t="s">
        <v>3</v>
      </c>
      <c r="D44" s="55"/>
      <c r="E44" s="9"/>
      <c r="F44" s="120">
        <f t="shared" si="4"/>
        <v>0</v>
      </c>
      <c r="G44" s="55"/>
      <c r="H44" s="70"/>
      <c r="I44" s="515">
        <f t="shared" si="3"/>
        <v>0</v>
      </c>
    </row>
    <row r="45" spans="1:9" ht="13.15" customHeight="1">
      <c r="A45" s="188" t="s">
        <v>302</v>
      </c>
      <c r="B45" s="193" t="s">
        <v>123</v>
      </c>
      <c r="C45" s="186" t="s">
        <v>3</v>
      </c>
      <c r="D45" s="55">
        <v>12</v>
      </c>
      <c r="E45" s="9"/>
      <c r="F45" s="120">
        <f t="shared" si="4"/>
        <v>12</v>
      </c>
      <c r="G45" s="55">
        <v>12</v>
      </c>
      <c r="H45" s="70"/>
      <c r="I45" s="515">
        <f t="shared" si="3"/>
        <v>12</v>
      </c>
    </row>
    <row r="46" spans="1:9" ht="13.15" customHeight="1">
      <c r="A46" s="188" t="s">
        <v>303</v>
      </c>
      <c r="B46" s="195" t="s">
        <v>124</v>
      </c>
      <c r="C46" s="186" t="s">
        <v>3</v>
      </c>
      <c r="D46" s="55">
        <v>274</v>
      </c>
      <c r="E46" s="9"/>
      <c r="F46" s="120">
        <f t="shared" si="4"/>
        <v>274</v>
      </c>
      <c r="G46" s="55">
        <v>274</v>
      </c>
      <c r="H46" s="9"/>
      <c r="I46" s="515">
        <f t="shared" si="3"/>
        <v>274</v>
      </c>
    </row>
    <row r="47" spans="1:9" ht="13.15" customHeight="1">
      <c r="A47" s="188" t="s">
        <v>304</v>
      </c>
      <c r="B47" s="195" t="s">
        <v>125</v>
      </c>
      <c r="C47" s="186" t="s">
        <v>3</v>
      </c>
      <c r="D47" s="55"/>
      <c r="E47" s="9">
        <v>11</v>
      </c>
      <c r="F47" s="120">
        <f t="shared" si="4"/>
        <v>11</v>
      </c>
      <c r="G47" s="55"/>
      <c r="H47" s="9">
        <v>11</v>
      </c>
      <c r="I47" s="515">
        <f t="shared" si="3"/>
        <v>11</v>
      </c>
    </row>
    <row r="48" spans="1:9" ht="13.15" customHeight="1">
      <c r="A48" s="188" t="s">
        <v>305</v>
      </c>
      <c r="B48" s="195" t="s">
        <v>126</v>
      </c>
      <c r="C48" s="186" t="s">
        <v>3</v>
      </c>
      <c r="D48" s="55"/>
      <c r="E48" s="9"/>
      <c r="F48" s="120">
        <f t="shared" si="4"/>
        <v>0</v>
      </c>
      <c r="G48" s="55"/>
      <c r="H48" s="9"/>
      <c r="I48" s="515">
        <f t="shared" si="3"/>
        <v>0</v>
      </c>
    </row>
    <row r="49" spans="1:9" ht="13.15" customHeight="1">
      <c r="A49" s="188" t="s">
        <v>306</v>
      </c>
      <c r="B49" s="196" t="s">
        <v>321</v>
      </c>
      <c r="C49" s="186" t="s">
        <v>3</v>
      </c>
      <c r="D49" s="55">
        <v>69</v>
      </c>
      <c r="E49" s="9">
        <v>4</v>
      </c>
      <c r="F49" s="120">
        <f t="shared" si="4"/>
        <v>73</v>
      </c>
      <c r="G49" s="55">
        <v>69</v>
      </c>
      <c r="H49" s="9">
        <v>4</v>
      </c>
      <c r="I49" s="515">
        <f t="shared" si="3"/>
        <v>73</v>
      </c>
    </row>
    <row r="50" spans="1:9" ht="13.15" customHeight="1">
      <c r="A50" s="188" t="s">
        <v>307</v>
      </c>
      <c r="B50" s="197" t="s">
        <v>117</v>
      </c>
      <c r="C50" s="186" t="s">
        <v>3</v>
      </c>
      <c r="D50" s="55"/>
      <c r="E50" s="9">
        <v>39</v>
      </c>
      <c r="F50" s="121">
        <f t="shared" si="4"/>
        <v>39</v>
      </c>
      <c r="G50" s="55"/>
      <c r="H50" s="64">
        <v>39</v>
      </c>
      <c r="I50" s="189">
        <f t="shared" si="3"/>
        <v>39</v>
      </c>
    </row>
    <row r="51" spans="1:9" ht="13.15" customHeight="1">
      <c r="A51" s="188" t="s">
        <v>308</v>
      </c>
      <c r="B51" s="197" t="s">
        <v>780</v>
      </c>
      <c r="C51" s="186" t="s">
        <v>3</v>
      </c>
      <c r="D51" s="81">
        <v>156</v>
      </c>
      <c r="E51" s="9"/>
      <c r="F51" s="120">
        <f t="shared" si="4"/>
        <v>156</v>
      </c>
      <c r="G51" s="81">
        <v>157</v>
      </c>
      <c r="H51" s="9"/>
      <c r="I51" s="515">
        <f t="shared" si="3"/>
        <v>157</v>
      </c>
    </row>
    <row r="52" spans="1:9" ht="13.15" customHeight="1">
      <c r="A52" s="188" t="s">
        <v>309</v>
      </c>
      <c r="B52" s="198"/>
      <c r="C52" s="186"/>
      <c r="D52" s="55"/>
      <c r="E52" s="9"/>
      <c r="F52" s="120"/>
      <c r="G52" s="55"/>
      <c r="H52" s="9"/>
      <c r="I52" s="515"/>
    </row>
    <row r="53" spans="1:9" ht="13.15" customHeight="1">
      <c r="A53" s="188" t="s">
        <v>311</v>
      </c>
      <c r="B53" s="198"/>
      <c r="C53" s="186"/>
      <c r="D53" s="55"/>
      <c r="E53" s="9"/>
      <c r="F53" s="120"/>
      <c r="G53" s="55"/>
      <c r="H53" s="9"/>
      <c r="I53" s="515"/>
    </row>
    <row r="54" spans="1:9" ht="13.15" customHeight="1">
      <c r="A54" s="188" t="s">
        <v>312</v>
      </c>
      <c r="B54" s="198"/>
      <c r="C54" s="186"/>
      <c r="D54" s="55"/>
      <c r="E54" s="9"/>
      <c r="F54" s="120"/>
      <c r="G54" s="55"/>
      <c r="H54" s="9"/>
      <c r="I54" s="515"/>
    </row>
    <row r="55" spans="1:9" ht="13.15" customHeight="1">
      <c r="A55" s="188" t="s">
        <v>313</v>
      </c>
      <c r="B55" s="198"/>
      <c r="C55" s="186"/>
      <c r="D55" s="55"/>
      <c r="E55" s="9"/>
      <c r="F55" s="120"/>
      <c r="G55" s="55"/>
      <c r="H55" s="9"/>
      <c r="I55" s="515"/>
    </row>
    <row r="56" spans="1:9" ht="13.15" customHeight="1">
      <c r="A56" s="188" t="s">
        <v>314</v>
      </c>
      <c r="B56" s="198"/>
      <c r="C56" s="186"/>
      <c r="D56" s="55"/>
      <c r="E56" s="9"/>
      <c r="F56" s="120"/>
      <c r="G56" s="55"/>
      <c r="H56" s="9"/>
      <c r="I56" s="515"/>
    </row>
    <row r="57" spans="1:9" ht="13.15" customHeight="1">
      <c r="A57" s="188" t="s">
        <v>315</v>
      </c>
      <c r="B57" s="198"/>
      <c r="C57" s="186"/>
      <c r="D57" s="55"/>
      <c r="E57" s="9"/>
      <c r="F57" s="120"/>
      <c r="G57" s="55"/>
      <c r="H57" s="9"/>
      <c r="I57" s="515"/>
    </row>
    <row r="58" spans="1:9" ht="13.15" customHeight="1">
      <c r="A58" s="184">
        <v>8</v>
      </c>
      <c r="B58" s="199" t="s">
        <v>95</v>
      </c>
      <c r="C58" s="186" t="s">
        <v>96</v>
      </c>
      <c r="D58" s="55">
        <v>10093</v>
      </c>
      <c r="E58" s="9"/>
      <c r="F58" s="120">
        <f t="shared" si="2"/>
        <v>10093</v>
      </c>
      <c r="G58" s="55">
        <v>10121</v>
      </c>
      <c r="H58" s="9"/>
      <c r="I58" s="515">
        <f t="shared" ref="I58:I68" si="5">SUM(G58:H58)</f>
        <v>10121</v>
      </c>
    </row>
    <row r="59" spans="1:9">
      <c r="A59" s="184">
        <v>9</v>
      </c>
      <c r="B59" s="200" t="s">
        <v>88</v>
      </c>
      <c r="C59" s="186" t="s">
        <v>3</v>
      </c>
      <c r="D59" s="55"/>
      <c r="E59" s="9"/>
      <c r="F59" s="120">
        <f t="shared" si="2"/>
        <v>0</v>
      </c>
      <c r="G59" s="55"/>
      <c r="H59" s="9"/>
      <c r="I59" s="515">
        <f t="shared" si="5"/>
        <v>0</v>
      </c>
    </row>
    <row r="60" spans="1:9">
      <c r="A60" s="184">
        <v>10</v>
      </c>
      <c r="B60" s="200" t="s">
        <v>99</v>
      </c>
      <c r="C60" s="186" t="s">
        <v>3</v>
      </c>
      <c r="D60" s="55"/>
      <c r="E60" s="9"/>
      <c r="F60" s="120">
        <f t="shared" si="2"/>
        <v>0</v>
      </c>
      <c r="G60" s="55"/>
      <c r="H60" s="9"/>
      <c r="I60" s="515">
        <f t="shared" si="5"/>
        <v>0</v>
      </c>
    </row>
    <row r="61" spans="1:9" s="202" customFormat="1">
      <c r="A61" s="166" t="s">
        <v>145</v>
      </c>
      <c r="B61" s="201" t="s">
        <v>8</v>
      </c>
      <c r="C61" s="181" t="s">
        <v>3</v>
      </c>
      <c r="D61" s="169">
        <f>SUM(D62,D78:D79,D82,D85)</f>
        <v>38491.170238577404</v>
      </c>
      <c r="E61" s="169">
        <f>SUM(E62,E78:E85)</f>
        <v>373</v>
      </c>
      <c r="F61" s="169">
        <f t="shared" si="2"/>
        <v>38864.170238577404</v>
      </c>
      <c r="G61" s="169">
        <f>SUM(G62,G78:G79,G82,G85)</f>
        <v>49164.222835923836</v>
      </c>
      <c r="H61" s="169">
        <f>SUM(H62,H78:H85)</f>
        <v>433</v>
      </c>
      <c r="I61" s="170">
        <f t="shared" si="5"/>
        <v>49597.222835923836</v>
      </c>
    </row>
    <row r="62" spans="1:9">
      <c r="A62" s="203">
        <v>1</v>
      </c>
      <c r="B62" s="204" t="s">
        <v>444</v>
      </c>
      <c r="C62" s="194" t="s">
        <v>3</v>
      </c>
      <c r="D62" s="120">
        <f>SUM(D63,D69,D75:D77)</f>
        <v>31905.042000000001</v>
      </c>
      <c r="E62" s="120">
        <f>SUM(E63,E69,E75:E77)</f>
        <v>313</v>
      </c>
      <c r="F62" s="120">
        <f>SUM(D62:E62)</f>
        <v>32218.042000000001</v>
      </c>
      <c r="G62" s="120">
        <f>SUM(G63,G69,G75:G77)</f>
        <v>41154.913</v>
      </c>
      <c r="H62" s="120">
        <f>SUM(H63,H69,H75:H77)</f>
        <v>313</v>
      </c>
      <c r="I62" s="515">
        <f t="shared" si="5"/>
        <v>41467.913</v>
      </c>
    </row>
    <row r="63" spans="1:9" s="207" customFormat="1" ht="25.5">
      <c r="A63" s="205" t="s">
        <v>83</v>
      </c>
      <c r="B63" s="206" t="s">
        <v>536</v>
      </c>
      <c r="C63" s="194" t="s">
        <v>3</v>
      </c>
      <c r="D63" s="121">
        <f>SUM(D64:D68)</f>
        <v>28866.042000000001</v>
      </c>
      <c r="E63" s="121"/>
      <c r="F63" s="121">
        <f t="shared" si="2"/>
        <v>28866.042000000001</v>
      </c>
      <c r="G63" s="121">
        <f>SUM(G64:G68)</f>
        <v>38008.913</v>
      </c>
      <c r="H63" s="121"/>
      <c r="I63" s="189">
        <f t="shared" si="5"/>
        <v>38008.913</v>
      </c>
    </row>
    <row r="64" spans="1:9">
      <c r="A64" s="205" t="s">
        <v>327</v>
      </c>
      <c r="B64" s="208" t="s">
        <v>9</v>
      </c>
      <c r="C64" s="194" t="s">
        <v>3</v>
      </c>
      <c r="D64" s="121">
        <f>ROUND('ТИП-ПРОИЗ'!E33*'ТИП-ПРОИЗ'!E86/1000,3)</f>
        <v>1316.0419999999999</v>
      </c>
      <c r="E64" s="121"/>
      <c r="F64" s="121">
        <f t="shared" si="2"/>
        <v>1316.0419999999999</v>
      </c>
      <c r="G64" s="121">
        <f>ROUND('ТИП-ПРОИЗ'!F33*'ТИП-ПРОИЗ'!F86/1000,3)</f>
        <v>3764.4459999999999</v>
      </c>
      <c r="H64" s="121"/>
      <c r="I64" s="189">
        <f t="shared" si="5"/>
        <v>3764.4459999999999</v>
      </c>
    </row>
    <row r="65" spans="1:9">
      <c r="A65" s="205" t="s">
        <v>328</v>
      </c>
      <c r="B65" s="208" t="s">
        <v>10</v>
      </c>
      <c r="C65" s="194" t="s">
        <v>3</v>
      </c>
      <c r="D65" s="121">
        <f>ROUND('ТИП-ПРОИЗ'!E34*'ТИП-ПРОИЗ'!E87/1000,3)</f>
        <v>0</v>
      </c>
      <c r="E65" s="121"/>
      <c r="F65" s="121">
        <f t="shared" si="2"/>
        <v>0</v>
      </c>
      <c r="G65" s="121">
        <f>ROUND('ТИП-ПРОИЗ'!F34*'ТИП-ПРОИЗ'!F87/1000,3)</f>
        <v>0</v>
      </c>
      <c r="H65" s="121"/>
      <c r="I65" s="189">
        <f t="shared" si="5"/>
        <v>0</v>
      </c>
    </row>
    <row r="66" spans="1:9">
      <c r="A66" s="205" t="s">
        <v>329</v>
      </c>
      <c r="B66" s="208" t="s">
        <v>12</v>
      </c>
      <c r="C66" s="194" t="s">
        <v>3</v>
      </c>
      <c r="D66" s="121">
        <f>ROUND('ТИП-ПРОИЗ'!E35*'ТИП-ПРОИЗ'!E88/1000,3)</f>
        <v>0</v>
      </c>
      <c r="E66" s="121"/>
      <c r="F66" s="121">
        <f t="shared" si="2"/>
        <v>0</v>
      </c>
      <c r="G66" s="121">
        <f>ROUND('ТИП-ПРОИЗ'!F35*'ТИП-ПРОИЗ'!F88/1000,3)</f>
        <v>0</v>
      </c>
      <c r="H66" s="121"/>
      <c r="I66" s="189">
        <f t="shared" si="5"/>
        <v>0</v>
      </c>
    </row>
    <row r="67" spans="1:9">
      <c r="A67" s="205" t="s">
        <v>330</v>
      </c>
      <c r="B67" s="208" t="s">
        <v>11</v>
      </c>
      <c r="C67" s="194" t="s">
        <v>3</v>
      </c>
      <c r="D67" s="121">
        <f>ROUND('ТИП-ПРОИЗ'!E36*'ТИП-ПРОИЗ'!E89/1000,3)</f>
        <v>27550</v>
      </c>
      <c r="E67" s="121"/>
      <c r="F67" s="121">
        <f t="shared" si="2"/>
        <v>27550</v>
      </c>
      <c r="G67" s="121">
        <f>ROUND('ТИП-ПРОИЗ'!F36*'ТИП-ПРОИЗ'!F89/1000,3)</f>
        <v>34244.466999999997</v>
      </c>
      <c r="H67" s="121"/>
      <c r="I67" s="189">
        <f t="shared" si="5"/>
        <v>34244.466999999997</v>
      </c>
    </row>
    <row r="68" spans="1:9">
      <c r="A68" s="205" t="s">
        <v>731</v>
      </c>
      <c r="B68" s="208" t="str">
        <f>'ТИП-ПРОИЗ'!B79</f>
        <v>друг вид гориво (ВЕИ)</v>
      </c>
      <c r="C68" s="194" t="s">
        <v>3</v>
      </c>
      <c r="D68" s="121">
        <f>ROUND('ТИП-ПРОИЗ'!E37*'ТИП-ПРОИЗ'!E90/1000,3)</f>
        <v>0</v>
      </c>
      <c r="E68" s="121"/>
      <c r="F68" s="121">
        <f t="shared" si="2"/>
        <v>0</v>
      </c>
      <c r="G68" s="121">
        <f>ROUND('ТИП-ПРОИЗ'!F37*'ТИП-ПРОИЗ'!F90/1000,3)</f>
        <v>0</v>
      </c>
      <c r="H68" s="121"/>
      <c r="I68" s="189">
        <f t="shared" si="5"/>
        <v>0</v>
      </c>
    </row>
    <row r="69" spans="1:9" s="207" customFormat="1" ht="38.25">
      <c r="A69" s="205" t="s">
        <v>84</v>
      </c>
      <c r="B69" s="209" t="s">
        <v>535</v>
      </c>
      <c r="C69" s="194" t="s">
        <v>3</v>
      </c>
      <c r="D69" s="121">
        <f>SUM(D70:D74)</f>
        <v>0</v>
      </c>
      <c r="E69" s="121"/>
      <c r="F69" s="121">
        <f t="shared" ref="F69:F74" si="6">SUM(D69:E69)</f>
        <v>0</v>
      </c>
      <c r="G69" s="121">
        <f>SUM(G70:G74)</f>
        <v>0</v>
      </c>
      <c r="H69" s="121"/>
      <c r="I69" s="189">
        <f t="shared" ref="I69:I74" si="7">SUM(G69:H69)</f>
        <v>0</v>
      </c>
    </row>
    <row r="70" spans="1:9">
      <c r="A70" s="205" t="s">
        <v>526</v>
      </c>
      <c r="B70" s="208" t="s">
        <v>9</v>
      </c>
      <c r="C70" s="194" t="s">
        <v>3</v>
      </c>
      <c r="D70" s="121">
        <f>ROUND('ТИП-ПРОИЗ'!E50*'ТИП-ПРОИЗ'!E86/1000,3)</f>
        <v>0</v>
      </c>
      <c r="E70" s="121"/>
      <c r="F70" s="121">
        <f t="shared" si="6"/>
        <v>0</v>
      </c>
      <c r="G70" s="121">
        <f>ROUND('ТИП-ПРОИЗ'!F50*'ТИП-ПРОИЗ'!F86/1000,3)</f>
        <v>0</v>
      </c>
      <c r="H70" s="121"/>
      <c r="I70" s="189">
        <f t="shared" si="7"/>
        <v>0</v>
      </c>
    </row>
    <row r="71" spans="1:9">
      <c r="A71" s="205" t="s">
        <v>527</v>
      </c>
      <c r="B71" s="208" t="s">
        <v>10</v>
      </c>
      <c r="C71" s="194" t="s">
        <v>3</v>
      </c>
      <c r="D71" s="121">
        <f>ROUND('ТИП-ПРОИЗ'!E51*'ТИП-ПРОИЗ'!E87/1000,3)</f>
        <v>0</v>
      </c>
      <c r="E71" s="121"/>
      <c r="F71" s="121">
        <f t="shared" si="6"/>
        <v>0</v>
      </c>
      <c r="G71" s="121">
        <f>ROUND('ТИП-ПРОИЗ'!F51*'ТИП-ПРОИЗ'!F87/1000,3)</f>
        <v>0</v>
      </c>
      <c r="H71" s="121"/>
      <c r="I71" s="189">
        <f t="shared" si="7"/>
        <v>0</v>
      </c>
    </row>
    <row r="72" spans="1:9">
      <c r="A72" s="205" t="s">
        <v>528</v>
      </c>
      <c r="B72" s="208" t="s">
        <v>12</v>
      </c>
      <c r="C72" s="194" t="s">
        <v>3</v>
      </c>
      <c r="D72" s="121">
        <f>ROUND('ТИП-ПРОИЗ'!E52*'ТИП-ПРОИЗ'!E88/1000,3)</f>
        <v>0</v>
      </c>
      <c r="E72" s="121"/>
      <c r="F72" s="121">
        <f t="shared" si="6"/>
        <v>0</v>
      </c>
      <c r="G72" s="121">
        <f>ROUND('ТИП-ПРОИЗ'!F52*'ТИП-ПРОИЗ'!F88/1000,3)</f>
        <v>0</v>
      </c>
      <c r="H72" s="121"/>
      <c r="I72" s="189">
        <f t="shared" si="7"/>
        <v>0</v>
      </c>
    </row>
    <row r="73" spans="1:9">
      <c r="A73" s="205" t="s">
        <v>529</v>
      </c>
      <c r="B73" s="208" t="s">
        <v>11</v>
      </c>
      <c r="C73" s="194" t="s">
        <v>3</v>
      </c>
      <c r="D73" s="121">
        <f>ROUND('ТИП-ПРОИЗ'!E53*'ТИП-ПРОИЗ'!E89/1000,3)</f>
        <v>0</v>
      </c>
      <c r="E73" s="121"/>
      <c r="F73" s="121">
        <f t="shared" si="6"/>
        <v>0</v>
      </c>
      <c r="G73" s="121">
        <f>ROUND('ТИП-ПРОИЗ'!F53*'ТИП-ПРОИЗ'!F89/1000,3)</f>
        <v>0</v>
      </c>
      <c r="H73" s="121"/>
      <c r="I73" s="189">
        <f t="shared" si="7"/>
        <v>0</v>
      </c>
    </row>
    <row r="74" spans="1:9">
      <c r="A74" s="205" t="s">
        <v>732</v>
      </c>
      <c r="B74" s="208" t="str">
        <f>'ТИП-ПРОИЗ'!B54</f>
        <v>друг вид гориво (ВЕИ)</v>
      </c>
      <c r="C74" s="194" t="s">
        <v>3</v>
      </c>
      <c r="D74" s="121">
        <f>ROUND('ТИП-ПРОИЗ'!E54*'ТИП-ПРОИЗ'!E90/1000,3)</f>
        <v>0</v>
      </c>
      <c r="E74" s="121"/>
      <c r="F74" s="121">
        <f t="shared" si="6"/>
        <v>0</v>
      </c>
      <c r="G74" s="121">
        <f>ROUND('ТИП-ПРОИЗ'!F54*'ТИП-ПРОИЗ'!F90/1000,3)</f>
        <v>0</v>
      </c>
      <c r="H74" s="121"/>
      <c r="I74" s="189">
        <f t="shared" si="7"/>
        <v>0</v>
      </c>
    </row>
    <row r="75" spans="1:9">
      <c r="A75" s="205" t="s">
        <v>101</v>
      </c>
      <c r="B75" s="210" t="s">
        <v>13</v>
      </c>
      <c r="C75" s="194" t="s">
        <v>3</v>
      </c>
      <c r="D75" s="81">
        <v>150</v>
      </c>
      <c r="E75" s="65">
        <v>65</v>
      </c>
      <c r="F75" s="121">
        <f t="shared" si="2"/>
        <v>215</v>
      </c>
      <c r="G75" s="81">
        <v>150</v>
      </c>
      <c r="H75" s="65">
        <v>65</v>
      </c>
      <c r="I75" s="189">
        <f t="shared" ref="I75:I85" si="8">SUM(G75:H75)</f>
        <v>215</v>
      </c>
    </row>
    <row r="76" spans="1:9">
      <c r="A76" s="205" t="s">
        <v>102</v>
      </c>
      <c r="B76" s="210" t="s">
        <v>316</v>
      </c>
      <c r="C76" s="194" t="s">
        <v>3</v>
      </c>
      <c r="D76" s="81">
        <v>1885</v>
      </c>
      <c r="E76" s="65">
        <v>248</v>
      </c>
      <c r="F76" s="121">
        <f t="shared" si="2"/>
        <v>2133</v>
      </c>
      <c r="G76" s="81">
        <v>1885</v>
      </c>
      <c r="H76" s="65">
        <v>248</v>
      </c>
      <c r="I76" s="189">
        <f t="shared" si="8"/>
        <v>2133</v>
      </c>
    </row>
    <row r="77" spans="1:9">
      <c r="A77" s="205" t="s">
        <v>530</v>
      </c>
      <c r="B77" s="210" t="s">
        <v>131</v>
      </c>
      <c r="C77" s="194" t="s">
        <v>3</v>
      </c>
      <c r="D77" s="81">
        <v>1004</v>
      </c>
      <c r="E77" s="65"/>
      <c r="F77" s="121">
        <f t="shared" si="2"/>
        <v>1004</v>
      </c>
      <c r="G77" s="81">
        <v>1111</v>
      </c>
      <c r="H77" s="65"/>
      <c r="I77" s="189">
        <f t="shared" si="8"/>
        <v>1111</v>
      </c>
    </row>
    <row r="78" spans="1:9">
      <c r="A78" s="211">
        <v>2</v>
      </c>
      <c r="B78" s="210" t="s">
        <v>100</v>
      </c>
      <c r="C78" s="194" t="s">
        <v>3</v>
      </c>
      <c r="D78" s="65">
        <v>139</v>
      </c>
      <c r="E78" s="65">
        <v>60</v>
      </c>
      <c r="F78" s="121">
        <f t="shared" si="2"/>
        <v>199</v>
      </c>
      <c r="G78" s="65">
        <f>140*2</f>
        <v>280</v>
      </c>
      <c r="H78" s="65">
        <f>60*2</f>
        <v>120</v>
      </c>
      <c r="I78" s="189">
        <f t="shared" si="8"/>
        <v>400</v>
      </c>
    </row>
    <row r="79" spans="1:9">
      <c r="A79" s="212" t="s">
        <v>438</v>
      </c>
      <c r="B79" s="213" t="s">
        <v>533</v>
      </c>
      <c r="C79" s="214" t="s">
        <v>3</v>
      </c>
      <c r="D79" s="215">
        <f>SUM(D80,D81)</f>
        <v>26.448</v>
      </c>
      <c r="E79" s="216"/>
      <c r="F79" s="217">
        <f t="shared" ref="F79:F85" si="9">SUM(D79:E79)</f>
        <v>26.448</v>
      </c>
      <c r="G79" s="215">
        <f>SUM(G80,G81)</f>
        <v>111.378</v>
      </c>
      <c r="H79" s="216"/>
      <c r="I79" s="218">
        <f>SUM(G79:H79)</f>
        <v>111.378</v>
      </c>
    </row>
    <row r="80" spans="1:9">
      <c r="A80" s="219" t="s">
        <v>267</v>
      </c>
      <c r="B80" s="208" t="s">
        <v>531</v>
      </c>
      <c r="C80" s="194" t="s">
        <v>3</v>
      </c>
      <c r="D80" s="121">
        <f>ROUND('ТИП-ПРОИЗ'!E38*'ТИП-ПРОИЗ'!$B38/1000,3)</f>
        <v>26.448</v>
      </c>
      <c r="E80" s="121"/>
      <c r="F80" s="121">
        <f t="shared" si="9"/>
        <v>26.448</v>
      </c>
      <c r="G80" s="121">
        <f>ROUND('ТИП-ПРОИЗ'!F38*'ТИП-ПРОИЗ'!$B38/1000,3)</f>
        <v>111.378</v>
      </c>
      <c r="H80" s="121"/>
      <c r="I80" s="189">
        <f>SUM(G80:H80)</f>
        <v>111.378</v>
      </c>
    </row>
    <row r="81" spans="1:9">
      <c r="A81" s="219" t="s">
        <v>268</v>
      </c>
      <c r="B81" s="208" t="s">
        <v>532</v>
      </c>
      <c r="C81" s="194" t="s">
        <v>3</v>
      </c>
      <c r="D81" s="121">
        <f>ROUND('ТИП-ПРОИЗ'!E55*'ТИП-ПРОИЗ'!$B55/1000,3)</f>
        <v>0</v>
      </c>
      <c r="E81" s="121"/>
      <c r="F81" s="121">
        <f t="shared" si="9"/>
        <v>0</v>
      </c>
      <c r="G81" s="121">
        <f>ROUND('ТИП-ПРОИЗ'!F55*'ТИП-ПРОИЗ'!$B55/1000,3)</f>
        <v>0</v>
      </c>
      <c r="H81" s="121"/>
      <c r="I81" s="189">
        <f>SUM(G81:H81)</f>
        <v>0</v>
      </c>
    </row>
    <row r="82" spans="1:9" ht="25.5">
      <c r="A82" s="205" t="s">
        <v>439</v>
      </c>
      <c r="B82" s="220" t="s">
        <v>534</v>
      </c>
      <c r="C82" s="194" t="s">
        <v>3</v>
      </c>
      <c r="D82" s="215">
        <f>SUM(D83:D84)</f>
        <v>1656.8202385774046</v>
      </c>
      <c r="E82" s="216"/>
      <c r="F82" s="217">
        <f t="shared" si="9"/>
        <v>1656.8202385774046</v>
      </c>
      <c r="G82" s="215">
        <f>SUM(G83:G84)</f>
        <v>1925.6518359238405</v>
      </c>
      <c r="H82" s="216"/>
      <c r="I82" s="218">
        <f>SUM(G82:H82)</f>
        <v>1925.6518359238405</v>
      </c>
    </row>
    <row r="83" spans="1:9" ht="25.5">
      <c r="A83" s="205" t="s">
        <v>257</v>
      </c>
      <c r="B83" s="220" t="s">
        <v>537</v>
      </c>
      <c r="C83" s="194" t="s">
        <v>3</v>
      </c>
      <c r="D83" s="215">
        <f>'ТИП-ПРОИЗ'!$B39*'ТИП-ПРОИЗ'!E39/1000</f>
        <v>1656.8202385774046</v>
      </c>
      <c r="F83" s="216"/>
      <c r="G83" s="215">
        <f>'ТИП-ПРОИЗ'!$B39*'ТИП-ПРОИЗ'!F39/1000</f>
        <v>1925.6518359238405</v>
      </c>
      <c r="H83" s="216"/>
      <c r="I83" s="218">
        <f>SUM(G83:H83)</f>
        <v>1925.6518359238405</v>
      </c>
    </row>
    <row r="84" spans="1:9" ht="25.5">
      <c r="A84" s="205" t="s">
        <v>258</v>
      </c>
      <c r="B84" s="220" t="s">
        <v>538</v>
      </c>
      <c r="C84" s="194" t="s">
        <v>3</v>
      </c>
      <c r="D84" s="215">
        <f>'ТИП-ПРОИЗ'!$B56*'ТИП-ПРОИЗ'!E56/1000</f>
        <v>0</v>
      </c>
      <c r="E84" s="216"/>
      <c r="F84" s="217">
        <f t="shared" si="9"/>
        <v>0</v>
      </c>
      <c r="G84" s="215">
        <f>'ТИП-ПРОИЗ'!$B56*'ТИП-ПРОИЗ'!F56/1000</f>
        <v>0</v>
      </c>
      <c r="H84" s="216"/>
      <c r="I84" s="218">
        <f t="shared" ref="I84" si="10">SUM(G84:H84)</f>
        <v>0</v>
      </c>
    </row>
    <row r="85" spans="1:9" ht="26.25" thickBot="1">
      <c r="A85" s="221" t="s">
        <v>440</v>
      </c>
      <c r="B85" s="222" t="s">
        <v>437</v>
      </c>
      <c r="C85" s="223" t="s">
        <v>3</v>
      </c>
      <c r="D85" s="224">
        <f>'ТИП-ПРОИЗ'!E98*'ТИП-ПРОИЗ'!E100/1000</f>
        <v>4763.8599999999997</v>
      </c>
      <c r="E85" s="225"/>
      <c r="F85" s="224">
        <f t="shared" si="9"/>
        <v>4763.8599999999997</v>
      </c>
      <c r="G85" s="224">
        <f>'ТИП-ПРОИЗ'!F98*'ТИП-ПРОИЗ'!F100/1000</f>
        <v>5692.28</v>
      </c>
      <c r="H85" s="225"/>
      <c r="I85" s="226">
        <f t="shared" si="8"/>
        <v>5692.28</v>
      </c>
    </row>
    <row r="86" spans="1:9" ht="13.5" thickTop="1"/>
    <row r="87" spans="1:9">
      <c r="A87" s="227" t="s">
        <v>128</v>
      </c>
      <c r="B87" s="228"/>
      <c r="C87" s="229"/>
      <c r="D87" s="230"/>
      <c r="E87" s="230"/>
      <c r="F87" s="231"/>
      <c r="G87" s="231"/>
      <c r="H87" s="231"/>
      <c r="I87" s="231"/>
    </row>
    <row r="88" spans="1:9">
      <c r="A88" s="132" t="s">
        <v>129</v>
      </c>
    </row>
    <row r="89" spans="1:9">
      <c r="A89" s="132" t="s">
        <v>130</v>
      </c>
    </row>
    <row r="91" spans="1:9">
      <c r="A91" s="132" t="s">
        <v>260</v>
      </c>
      <c r="E91" s="232" t="s">
        <v>259</v>
      </c>
    </row>
    <row r="93" spans="1:9">
      <c r="B93" s="233" t="s">
        <v>778</v>
      </c>
      <c r="F93" s="695" t="s">
        <v>785</v>
      </c>
      <c r="G93" s="695"/>
      <c r="H93" s="695"/>
      <c r="I93" s="695"/>
    </row>
    <row r="96" spans="1:9">
      <c r="A96" s="234"/>
      <c r="B96" s="235"/>
      <c r="C96" s="234"/>
      <c r="D96" s="234"/>
      <c r="E96" s="234"/>
      <c r="F96" s="234"/>
      <c r="G96" s="234"/>
      <c r="H96" s="234"/>
      <c r="I96" s="234"/>
    </row>
    <row r="97" spans="1:9">
      <c r="A97" s="234"/>
      <c r="B97" s="235"/>
      <c r="C97" s="234"/>
      <c r="D97" s="234"/>
      <c r="E97" s="234"/>
      <c r="F97" s="234"/>
      <c r="G97" s="234"/>
      <c r="H97" s="234"/>
      <c r="I97" s="234"/>
    </row>
    <row r="100" spans="1:9">
      <c r="B100" s="236"/>
    </row>
    <row r="101" spans="1:9">
      <c r="B101" s="106"/>
    </row>
  </sheetData>
  <mergeCells count="9">
    <mergeCell ref="A5:A6"/>
    <mergeCell ref="B5:B6"/>
    <mergeCell ref="C5:C6"/>
    <mergeCell ref="D5:F5"/>
    <mergeCell ref="F93:I93"/>
    <mergeCell ref="B1:C1"/>
    <mergeCell ref="B2:C2"/>
    <mergeCell ref="B3:C3"/>
    <mergeCell ref="G5:I5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:F32 F63 F12 F19:F20 I24 I27 I8:I13" formula="1"/>
    <ignoredError sqref="A58:A63 A85" numberStoredAsText="1"/>
    <ignoredError sqref="D8:E8 D10:E10" evalError="1"/>
    <ignoredError sqref="F8:F11 F17:F18 F61 F13:F15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9"/>
  <sheetViews>
    <sheetView showGridLines="0" showZeros="0" topLeftCell="A76" workbookViewId="0">
      <selection activeCell="B73" sqref="B73"/>
    </sheetView>
  </sheetViews>
  <sheetFormatPr defaultColWidth="0" defaultRowHeight="12.75" customHeight="1" zeroHeight="1"/>
  <cols>
    <col min="1" max="1" width="3.5703125" style="20" bestFit="1" customWidth="1"/>
    <col min="2" max="2" width="40.7109375" style="35" customWidth="1"/>
    <col min="3" max="3" width="7.5703125" style="1" bestFit="1" customWidth="1"/>
    <col min="4" max="6" width="7.7109375" style="20" customWidth="1"/>
    <col min="7" max="9" width="7.710937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4"/>
      <c r="B1" s="749" t="s">
        <v>176</v>
      </c>
      <c r="C1" s="749"/>
      <c r="D1" s="24"/>
      <c r="E1" s="24"/>
      <c r="F1" s="24"/>
      <c r="G1" s="24"/>
      <c r="H1" s="24"/>
      <c r="I1" s="62" t="s">
        <v>692</v>
      </c>
    </row>
    <row r="2" spans="1:9" s="3" customFormat="1">
      <c r="A2" s="24"/>
      <c r="B2" s="750" t="str">
        <f>'ТИП-ПРОИЗ'!B3</f>
        <v>"Топлофикация- Перник" АД</v>
      </c>
      <c r="C2" s="750"/>
      <c r="D2" s="24"/>
      <c r="E2" s="24"/>
      <c r="F2" s="24"/>
      <c r="G2" s="24"/>
      <c r="H2" s="24"/>
      <c r="I2" s="24"/>
    </row>
    <row r="3" spans="1:9" s="3" customFormat="1" ht="13.5" thickBot="1">
      <c r="A3" s="25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15" t="s">
        <v>0</v>
      </c>
      <c r="B4" s="717" t="s">
        <v>132</v>
      </c>
      <c r="C4" s="719" t="s">
        <v>2</v>
      </c>
      <c r="D4" s="740" t="s">
        <v>781</v>
      </c>
      <c r="E4" s="740"/>
      <c r="F4" s="740"/>
      <c r="G4" s="741" t="s">
        <v>782</v>
      </c>
      <c r="H4" s="741"/>
      <c r="I4" s="742"/>
    </row>
    <row r="5" spans="1:9" s="3" customFormat="1" ht="35.25" customHeight="1">
      <c r="A5" s="716"/>
      <c r="B5" s="718"/>
      <c r="C5" s="720"/>
      <c r="D5" s="26" t="s">
        <v>150</v>
      </c>
      <c r="E5" s="736" t="s">
        <v>148</v>
      </c>
      <c r="F5" s="736"/>
      <c r="G5" s="26" t="s">
        <v>150</v>
      </c>
      <c r="H5" s="736" t="s">
        <v>148</v>
      </c>
      <c r="I5" s="737"/>
    </row>
    <row r="6" spans="1:9" s="3" customFormat="1" ht="21">
      <c r="A6" s="27" t="s">
        <v>133</v>
      </c>
      <c r="B6" s="39" t="s">
        <v>149</v>
      </c>
      <c r="C6" s="12" t="s">
        <v>3</v>
      </c>
      <c r="D6" s="28">
        <f>SUM(D7,D14)</f>
        <v>95809</v>
      </c>
      <c r="E6" s="738">
        <f>SUM(E7,E14)</f>
        <v>20357</v>
      </c>
      <c r="F6" s="738"/>
      <c r="G6" s="28">
        <f>SUM(G7,G14)</f>
        <v>95809</v>
      </c>
      <c r="H6" s="738">
        <f>SUM(H7,H14)</f>
        <v>20357</v>
      </c>
      <c r="I6" s="739"/>
    </row>
    <row r="7" spans="1:9" s="3" customFormat="1">
      <c r="A7" s="27" t="s">
        <v>134</v>
      </c>
      <c r="B7" s="7" t="s">
        <v>141</v>
      </c>
      <c r="C7" s="12" t="s">
        <v>3</v>
      </c>
      <c r="D7" s="29">
        <f>SUM(D8:D13)</f>
        <v>95809</v>
      </c>
      <c r="E7" s="730">
        <f>SUM(E8:F13)</f>
        <v>20357</v>
      </c>
      <c r="F7" s="730"/>
      <c r="G7" s="29">
        <f>SUM(G8:G13)</f>
        <v>95809</v>
      </c>
      <c r="H7" s="730">
        <f>SUM(H8:I13)</f>
        <v>20357</v>
      </c>
      <c r="I7" s="731"/>
    </row>
    <row r="8" spans="1:9" s="3" customFormat="1">
      <c r="A8" s="27"/>
      <c r="B8" s="8" t="s">
        <v>135</v>
      </c>
      <c r="C8" s="12" t="s">
        <v>3</v>
      </c>
      <c r="D8" s="100">
        <v>4555</v>
      </c>
      <c r="E8" s="743"/>
      <c r="F8" s="744"/>
      <c r="G8" s="100">
        <v>4555</v>
      </c>
      <c r="H8" s="743"/>
      <c r="I8" s="744"/>
    </row>
    <row r="9" spans="1:9" s="3" customFormat="1">
      <c r="A9" s="27"/>
      <c r="B9" s="8" t="s">
        <v>136</v>
      </c>
      <c r="C9" s="12" t="s">
        <v>3</v>
      </c>
      <c r="D9" s="100">
        <v>11287</v>
      </c>
      <c r="E9" s="743">
        <v>2772</v>
      </c>
      <c r="F9" s="744"/>
      <c r="G9" s="100">
        <v>11287</v>
      </c>
      <c r="H9" s="743">
        <v>2772</v>
      </c>
      <c r="I9" s="744"/>
    </row>
    <row r="10" spans="1:9" s="3" customFormat="1">
      <c r="A10" s="27"/>
      <c r="B10" s="8" t="s">
        <v>137</v>
      </c>
      <c r="C10" s="12" t="s">
        <v>3</v>
      </c>
      <c r="D10" s="100">
        <v>79653</v>
      </c>
      <c r="E10" s="743">
        <v>17336</v>
      </c>
      <c r="F10" s="744"/>
      <c r="G10" s="100">
        <v>79653</v>
      </c>
      <c r="H10" s="743">
        <v>17336</v>
      </c>
      <c r="I10" s="744"/>
    </row>
    <row r="11" spans="1:9" s="3" customFormat="1">
      <c r="A11" s="27"/>
      <c r="B11" s="8" t="s">
        <v>138</v>
      </c>
      <c r="C11" s="12" t="s">
        <v>3</v>
      </c>
      <c r="D11" s="100">
        <v>174</v>
      </c>
      <c r="E11" s="743">
        <v>109</v>
      </c>
      <c r="F11" s="744"/>
      <c r="G11" s="100">
        <v>174</v>
      </c>
      <c r="H11" s="743">
        <v>109</v>
      </c>
      <c r="I11" s="744"/>
    </row>
    <row r="12" spans="1:9" s="3" customFormat="1">
      <c r="A12" s="27"/>
      <c r="B12" s="8" t="s">
        <v>139</v>
      </c>
      <c r="C12" s="12" t="s">
        <v>3</v>
      </c>
      <c r="D12" s="100">
        <v>140</v>
      </c>
      <c r="E12" s="743">
        <v>140</v>
      </c>
      <c r="F12" s="744"/>
      <c r="G12" s="100">
        <v>140</v>
      </c>
      <c r="H12" s="743">
        <v>140</v>
      </c>
      <c r="I12" s="744"/>
    </row>
    <row r="13" spans="1:9" s="3" customFormat="1">
      <c r="A13" s="27"/>
      <c r="B13" s="8" t="s">
        <v>140</v>
      </c>
      <c r="C13" s="12" t="s">
        <v>3</v>
      </c>
      <c r="D13" s="100"/>
      <c r="E13" s="743"/>
      <c r="F13" s="744"/>
      <c r="G13" s="100"/>
      <c r="H13" s="743"/>
      <c r="I13" s="744"/>
    </row>
    <row r="14" spans="1:9" s="3" customFormat="1">
      <c r="A14" s="27" t="s">
        <v>142</v>
      </c>
      <c r="B14" s="7" t="s">
        <v>174</v>
      </c>
      <c r="C14" s="12" t="s">
        <v>3</v>
      </c>
      <c r="D14" s="100"/>
      <c r="E14" s="743"/>
      <c r="F14" s="744"/>
      <c r="G14" s="100"/>
      <c r="H14" s="743"/>
      <c r="I14" s="744"/>
    </row>
    <row r="15" spans="1:9" s="3" customFormat="1">
      <c r="A15" s="27" t="s">
        <v>143</v>
      </c>
      <c r="B15" s="13" t="s">
        <v>153</v>
      </c>
      <c r="C15" s="12" t="s">
        <v>3</v>
      </c>
      <c r="D15" s="100">
        <v>16962</v>
      </c>
      <c r="E15" s="743">
        <v>7985</v>
      </c>
      <c r="F15" s="744"/>
      <c r="G15" s="100">
        <v>16962</v>
      </c>
      <c r="H15" s="743">
        <v>7985</v>
      </c>
      <c r="I15" s="744"/>
    </row>
    <row r="16" spans="1:9" s="3" customFormat="1">
      <c r="A16" s="27" t="s">
        <v>177</v>
      </c>
      <c r="B16" s="31" t="s">
        <v>147</v>
      </c>
      <c r="C16" s="12" t="s">
        <v>3</v>
      </c>
      <c r="D16" s="745">
        <v>20142</v>
      </c>
      <c r="E16" s="746"/>
      <c r="F16" s="747"/>
      <c r="G16" s="745">
        <v>20142</v>
      </c>
      <c r="H16" s="746"/>
      <c r="I16" s="747"/>
    </row>
    <row r="17" spans="1:36" ht="13.5" thickBot="1">
      <c r="A17" s="32" t="s">
        <v>178</v>
      </c>
      <c r="B17" s="40" t="s">
        <v>146</v>
      </c>
      <c r="C17" s="43" t="s">
        <v>3</v>
      </c>
      <c r="D17" s="706">
        <f>SUM(D6,D16)-SUM(D15,E6)</f>
        <v>78632</v>
      </c>
      <c r="E17" s="706"/>
      <c r="F17" s="706"/>
      <c r="G17" s="706">
        <f>SUM(G6,G16)-SUM(G15,H6)</f>
        <v>78632</v>
      </c>
      <c r="H17" s="706"/>
      <c r="I17" s="707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5"/>
      <c r="B18" s="72"/>
      <c r="C18" s="63"/>
      <c r="D18" s="73"/>
      <c r="E18" s="73"/>
      <c r="F18" s="73"/>
      <c r="G18" s="73"/>
      <c r="H18" s="73"/>
      <c r="I18" s="7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5"/>
      <c r="B19" s="33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48">
        <f>IF(G17=0,0,D35/G17)</f>
        <v>0.65094363617865503</v>
      </c>
      <c r="B20" s="748"/>
      <c r="C20" s="748"/>
      <c r="D20" s="748"/>
      <c r="E20" s="748"/>
      <c r="F20" s="748"/>
      <c r="G20" s="748"/>
      <c r="H20" s="748"/>
      <c r="I20" s="748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5"/>
      <c r="B21" s="33"/>
      <c r="C21" s="14"/>
      <c r="D21" s="14"/>
      <c r="E21" s="34"/>
      <c r="F21" s="14"/>
      <c r="G21" s="14"/>
      <c r="H21" s="34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15" t="s">
        <v>0</v>
      </c>
      <c r="B22" s="717" t="s">
        <v>132</v>
      </c>
      <c r="C22" s="719" t="s">
        <v>2</v>
      </c>
      <c r="D22" s="733" t="s">
        <v>289</v>
      </c>
      <c r="E22" s="733"/>
      <c r="F22" s="733"/>
      <c r="G22" s="734" t="s">
        <v>85</v>
      </c>
      <c r="H22" s="734"/>
      <c r="I22" s="735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16"/>
      <c r="B23" s="718"/>
      <c r="C23" s="720"/>
      <c r="D23" s="26" t="s">
        <v>150</v>
      </c>
      <c r="E23" s="736" t="s">
        <v>148</v>
      </c>
      <c r="F23" s="736"/>
      <c r="G23" s="26" t="s">
        <v>150</v>
      </c>
      <c r="H23" s="736" t="s">
        <v>148</v>
      </c>
      <c r="I23" s="737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7" t="s">
        <v>133</v>
      </c>
      <c r="B24" s="39" t="s">
        <v>149</v>
      </c>
      <c r="C24" s="12" t="s">
        <v>3</v>
      </c>
      <c r="D24" s="28">
        <f>SUM(D25,D32)</f>
        <v>59325</v>
      </c>
      <c r="E24" s="738">
        <f>SUM(E25,E32)</f>
        <v>12971</v>
      </c>
      <c r="F24" s="738"/>
      <c r="G24" s="28">
        <f>SUM(G25,G32)</f>
        <v>36484</v>
      </c>
      <c r="H24" s="738">
        <f>SUM(H25,H32)</f>
        <v>7386</v>
      </c>
      <c r="I24" s="739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7" t="s">
        <v>134</v>
      </c>
      <c r="B25" s="7" t="s">
        <v>141</v>
      </c>
      <c r="C25" s="12" t="s">
        <v>3</v>
      </c>
      <c r="D25" s="29">
        <f>SUM(D26:D31)</f>
        <v>59325</v>
      </c>
      <c r="E25" s="730">
        <f>SUM(E26:F31)</f>
        <v>12971</v>
      </c>
      <c r="F25" s="730"/>
      <c r="G25" s="29">
        <f>SUM(G26:G31)</f>
        <v>36484</v>
      </c>
      <c r="H25" s="730">
        <f>SUM(H26:I31)</f>
        <v>7386</v>
      </c>
      <c r="I25" s="731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7"/>
      <c r="B26" s="8" t="s">
        <v>135</v>
      </c>
      <c r="C26" s="12" t="s">
        <v>3</v>
      </c>
      <c r="D26" s="53">
        <f t="shared" ref="D26:E33" si="0">SUM(G8,-G26)</f>
        <v>4080</v>
      </c>
      <c r="E26" s="724">
        <f t="shared" si="0"/>
        <v>0</v>
      </c>
      <c r="F26" s="724"/>
      <c r="G26" s="30">
        <v>475</v>
      </c>
      <c r="H26" s="725"/>
      <c r="I26" s="726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7"/>
      <c r="B27" s="8" t="s">
        <v>136</v>
      </c>
      <c r="C27" s="12" t="s">
        <v>3</v>
      </c>
      <c r="D27" s="53">
        <f t="shared" si="0"/>
        <v>10210</v>
      </c>
      <c r="E27" s="724">
        <f t="shared" si="0"/>
        <v>2567</v>
      </c>
      <c r="F27" s="724"/>
      <c r="G27" s="30">
        <v>1077</v>
      </c>
      <c r="H27" s="725">
        <v>205</v>
      </c>
      <c r="I27" s="726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7"/>
      <c r="B28" s="8" t="s">
        <v>137</v>
      </c>
      <c r="C28" s="12" t="s">
        <v>3</v>
      </c>
      <c r="D28" s="53">
        <f t="shared" si="0"/>
        <v>44844</v>
      </c>
      <c r="E28" s="724">
        <f t="shared" si="0"/>
        <v>10267</v>
      </c>
      <c r="F28" s="724"/>
      <c r="G28" s="44">
        <v>34809</v>
      </c>
      <c r="H28" s="743">
        <v>7069</v>
      </c>
      <c r="I28" s="751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7"/>
      <c r="B29" s="8" t="s">
        <v>138</v>
      </c>
      <c r="C29" s="12" t="s">
        <v>3</v>
      </c>
      <c r="D29" s="53">
        <f t="shared" si="0"/>
        <v>156</v>
      </c>
      <c r="E29" s="724">
        <f t="shared" si="0"/>
        <v>102</v>
      </c>
      <c r="F29" s="724"/>
      <c r="G29" s="30">
        <v>18</v>
      </c>
      <c r="H29" s="725">
        <v>7</v>
      </c>
      <c r="I29" s="726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7"/>
      <c r="B30" s="8" t="s">
        <v>139</v>
      </c>
      <c r="C30" s="12" t="s">
        <v>3</v>
      </c>
      <c r="D30" s="53">
        <f t="shared" si="0"/>
        <v>35</v>
      </c>
      <c r="E30" s="724">
        <f t="shared" si="0"/>
        <v>35</v>
      </c>
      <c r="F30" s="724"/>
      <c r="G30" s="30">
        <v>105</v>
      </c>
      <c r="H30" s="725">
        <v>105</v>
      </c>
      <c r="I30" s="726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7"/>
      <c r="B31" s="8" t="s">
        <v>140</v>
      </c>
      <c r="C31" s="12" t="s">
        <v>3</v>
      </c>
      <c r="D31" s="53">
        <f t="shared" si="0"/>
        <v>0</v>
      </c>
      <c r="E31" s="724">
        <f t="shared" si="0"/>
        <v>0</v>
      </c>
      <c r="F31" s="724"/>
      <c r="G31" s="30"/>
      <c r="H31" s="725"/>
      <c r="I31" s="726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7" t="s">
        <v>142</v>
      </c>
      <c r="B32" s="7" t="s">
        <v>174</v>
      </c>
      <c r="C32" s="12" t="s">
        <v>3</v>
      </c>
      <c r="D32" s="53">
        <f t="shared" si="0"/>
        <v>0</v>
      </c>
      <c r="E32" s="724">
        <f t="shared" si="0"/>
        <v>0</v>
      </c>
      <c r="F32" s="724"/>
      <c r="G32" s="44"/>
      <c r="H32" s="725"/>
      <c r="I32" s="726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7" t="s">
        <v>143</v>
      </c>
      <c r="B33" s="13" t="s">
        <v>153</v>
      </c>
      <c r="C33" s="12" t="s">
        <v>3</v>
      </c>
      <c r="D33" s="53">
        <f t="shared" si="0"/>
        <v>15310</v>
      </c>
      <c r="E33" s="724">
        <f t="shared" si="0"/>
        <v>7985</v>
      </c>
      <c r="F33" s="724"/>
      <c r="G33" s="30">
        <v>1652</v>
      </c>
      <c r="H33" s="725"/>
      <c r="I33" s="726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7" t="s">
        <v>177</v>
      </c>
      <c r="B34" s="31" t="s">
        <v>147</v>
      </c>
      <c r="C34" s="12" t="s">
        <v>3</v>
      </c>
      <c r="D34" s="727">
        <f>SUM(G16,-G34)-1</f>
        <v>20141</v>
      </c>
      <c r="E34" s="727"/>
      <c r="F34" s="727"/>
      <c r="G34" s="728"/>
      <c r="H34" s="728"/>
      <c r="I34" s="729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2" t="s">
        <v>178</v>
      </c>
      <c r="B35" s="40" t="s">
        <v>146</v>
      </c>
      <c r="C35" s="43" t="s">
        <v>3</v>
      </c>
      <c r="D35" s="706">
        <f>SUM(D24,D34)-SUM(D33,E24)</f>
        <v>51185</v>
      </c>
      <c r="E35" s="706"/>
      <c r="F35" s="706"/>
      <c r="G35" s="706">
        <f>SUM(G24,G34)-SUM(G33,H24)</f>
        <v>27446</v>
      </c>
      <c r="H35" s="706"/>
      <c r="I35" s="707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5"/>
      <c r="B36" s="72"/>
      <c r="C36" s="63"/>
      <c r="D36" s="73"/>
      <c r="E36" s="73"/>
      <c r="F36" s="73"/>
      <c r="G36" s="73"/>
      <c r="H36" s="73"/>
      <c r="I36" s="7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5"/>
      <c r="B37" s="33"/>
      <c r="C37" s="14"/>
      <c r="D37" s="14"/>
      <c r="E37" s="14"/>
      <c r="F37" s="14"/>
      <c r="G37" s="14"/>
      <c r="H37" s="33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32">
        <f>IF(D35=0,0,D53/D35)</f>
        <v>1</v>
      </c>
      <c r="B38" s="732"/>
      <c r="C38" s="732"/>
      <c r="D38" s="732"/>
      <c r="E38" s="732"/>
      <c r="F38" s="732"/>
      <c r="G38" s="732"/>
      <c r="H38" s="732"/>
      <c r="I38" s="732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5"/>
      <c r="B39" s="33"/>
      <c r="C39" s="14"/>
      <c r="D39" s="14"/>
      <c r="E39" s="34"/>
      <c r="F39" s="14"/>
      <c r="G39" s="14"/>
      <c r="H39" s="34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15" t="s">
        <v>0</v>
      </c>
      <c r="B40" s="717" t="s">
        <v>132</v>
      </c>
      <c r="C40" s="719" t="s">
        <v>2</v>
      </c>
      <c r="D40" s="733" t="s">
        <v>393</v>
      </c>
      <c r="E40" s="733"/>
      <c r="F40" s="733"/>
      <c r="G40" s="734" t="s">
        <v>394</v>
      </c>
      <c r="H40" s="734"/>
      <c r="I40" s="735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16"/>
      <c r="B41" s="718"/>
      <c r="C41" s="720"/>
      <c r="D41" s="26" t="s">
        <v>150</v>
      </c>
      <c r="E41" s="736" t="s">
        <v>148</v>
      </c>
      <c r="F41" s="736"/>
      <c r="G41" s="26" t="s">
        <v>150</v>
      </c>
      <c r="H41" s="736" t="s">
        <v>148</v>
      </c>
      <c r="I41" s="737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7" t="s">
        <v>133</v>
      </c>
      <c r="B42" s="39" t="s">
        <v>149</v>
      </c>
      <c r="C42" s="12" t="s">
        <v>3</v>
      </c>
      <c r="D42" s="28">
        <f>SUM(D43,D50)</f>
        <v>59325</v>
      </c>
      <c r="E42" s="738">
        <f>SUM(E43,E50)</f>
        <v>12971</v>
      </c>
      <c r="F42" s="738"/>
      <c r="G42" s="28">
        <f>SUM(G43,G50)</f>
        <v>0</v>
      </c>
      <c r="H42" s="738">
        <f>SUM(H43,H50)</f>
        <v>0</v>
      </c>
      <c r="I42" s="739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7" t="s">
        <v>134</v>
      </c>
      <c r="B43" s="7" t="s">
        <v>141</v>
      </c>
      <c r="C43" s="12" t="s">
        <v>3</v>
      </c>
      <c r="D43" s="29">
        <f>SUM(D44:D49)</f>
        <v>59325</v>
      </c>
      <c r="E43" s="730">
        <f>SUM(E44:F49)</f>
        <v>12971</v>
      </c>
      <c r="F43" s="730"/>
      <c r="G43" s="29">
        <f>SUM(G44:G49)</f>
        <v>0</v>
      </c>
      <c r="H43" s="730">
        <f>SUM(H44:I49)</f>
        <v>0</v>
      </c>
      <c r="I43" s="731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7"/>
      <c r="B44" s="8" t="s">
        <v>135</v>
      </c>
      <c r="C44" s="12" t="s">
        <v>3</v>
      </c>
      <c r="D44" s="53">
        <f t="shared" ref="D44:E51" si="1">SUM(D26,-G44)</f>
        <v>4080</v>
      </c>
      <c r="E44" s="724">
        <f t="shared" si="1"/>
        <v>0</v>
      </c>
      <c r="F44" s="724"/>
      <c r="G44" s="30"/>
      <c r="H44" s="725"/>
      <c r="I44" s="726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7"/>
      <c r="B45" s="8" t="s">
        <v>136</v>
      </c>
      <c r="C45" s="12" t="s">
        <v>3</v>
      </c>
      <c r="D45" s="53">
        <f t="shared" si="1"/>
        <v>10210</v>
      </c>
      <c r="E45" s="724">
        <f t="shared" si="1"/>
        <v>2567</v>
      </c>
      <c r="F45" s="724"/>
      <c r="G45" s="30"/>
      <c r="H45" s="725"/>
      <c r="I45" s="726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7"/>
      <c r="B46" s="8" t="s">
        <v>137</v>
      </c>
      <c r="C46" s="12" t="s">
        <v>3</v>
      </c>
      <c r="D46" s="53">
        <f t="shared" si="1"/>
        <v>44844</v>
      </c>
      <c r="E46" s="724">
        <f t="shared" si="1"/>
        <v>10267</v>
      </c>
      <c r="F46" s="724"/>
      <c r="G46" s="44"/>
      <c r="H46" s="725"/>
      <c r="I46" s="726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7"/>
      <c r="B47" s="8" t="s">
        <v>138</v>
      </c>
      <c r="C47" s="12" t="s">
        <v>3</v>
      </c>
      <c r="D47" s="53">
        <f t="shared" si="1"/>
        <v>156</v>
      </c>
      <c r="E47" s="724">
        <f t="shared" si="1"/>
        <v>102</v>
      </c>
      <c r="F47" s="724"/>
      <c r="G47" s="30"/>
      <c r="H47" s="725"/>
      <c r="I47" s="726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7"/>
      <c r="B48" s="8" t="s">
        <v>139</v>
      </c>
      <c r="C48" s="12" t="s">
        <v>3</v>
      </c>
      <c r="D48" s="53">
        <f t="shared" si="1"/>
        <v>35</v>
      </c>
      <c r="E48" s="724">
        <f t="shared" si="1"/>
        <v>35</v>
      </c>
      <c r="F48" s="724"/>
      <c r="G48" s="30"/>
      <c r="H48" s="725"/>
      <c r="I48" s="726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7"/>
      <c r="B49" s="8" t="s">
        <v>140</v>
      </c>
      <c r="C49" s="12" t="s">
        <v>3</v>
      </c>
      <c r="D49" s="53">
        <f t="shared" si="1"/>
        <v>0</v>
      </c>
      <c r="E49" s="724">
        <f t="shared" si="1"/>
        <v>0</v>
      </c>
      <c r="F49" s="724"/>
      <c r="G49" s="30"/>
      <c r="H49" s="725"/>
      <c r="I49" s="726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7" t="s">
        <v>142</v>
      </c>
      <c r="B50" s="7" t="s">
        <v>174</v>
      </c>
      <c r="C50" s="12" t="s">
        <v>3</v>
      </c>
      <c r="D50" s="53">
        <f t="shared" si="1"/>
        <v>0</v>
      </c>
      <c r="E50" s="724">
        <f t="shared" si="1"/>
        <v>0</v>
      </c>
      <c r="F50" s="724"/>
      <c r="G50" s="44"/>
      <c r="H50" s="725"/>
      <c r="I50" s="726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7" t="s">
        <v>143</v>
      </c>
      <c r="B51" s="13" t="s">
        <v>153</v>
      </c>
      <c r="C51" s="12" t="s">
        <v>3</v>
      </c>
      <c r="D51" s="53">
        <f t="shared" si="1"/>
        <v>15310</v>
      </c>
      <c r="E51" s="724">
        <f t="shared" si="1"/>
        <v>7985</v>
      </c>
      <c r="F51" s="724"/>
      <c r="G51" s="30"/>
      <c r="H51" s="725"/>
      <c r="I51" s="726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7" t="s">
        <v>177</v>
      </c>
      <c r="B52" s="31" t="s">
        <v>147</v>
      </c>
      <c r="C52" s="12" t="s">
        <v>3</v>
      </c>
      <c r="D52" s="727">
        <f>SUM(D34,-G52)</f>
        <v>20141</v>
      </c>
      <c r="E52" s="727"/>
      <c r="F52" s="727"/>
      <c r="G52" s="728"/>
      <c r="H52" s="728"/>
      <c r="I52" s="729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2" t="s">
        <v>178</v>
      </c>
      <c r="B53" s="40" t="s">
        <v>146</v>
      </c>
      <c r="C53" s="43" t="s">
        <v>3</v>
      </c>
      <c r="D53" s="706">
        <f>SUM(D42,D52)-SUM(D51,E42)</f>
        <v>51185</v>
      </c>
      <c r="E53" s="706"/>
      <c r="F53" s="706"/>
      <c r="G53" s="706">
        <f>SUM(G42,G52)-SUM(G51,H42)</f>
        <v>0</v>
      </c>
      <c r="H53" s="706"/>
      <c r="I53" s="707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5"/>
      <c r="B54" s="72"/>
      <c r="C54" s="63"/>
      <c r="D54" s="73"/>
      <c r="E54" s="73"/>
      <c r="F54" s="73"/>
      <c r="G54" s="73"/>
      <c r="H54" s="73"/>
      <c r="I54" s="7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5"/>
      <c r="B55" s="72"/>
      <c r="C55" s="63"/>
      <c r="D55" s="73"/>
      <c r="E55" s="73"/>
      <c r="F55" s="73"/>
      <c r="G55" s="73"/>
      <c r="H55" s="73"/>
      <c r="I55" s="7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5"/>
      <c r="B56" s="72"/>
      <c r="C56" s="63"/>
      <c r="D56" s="73"/>
      <c r="E56" s="73"/>
      <c r="F56" s="73"/>
      <c r="G56" s="73"/>
      <c r="H56" s="73"/>
      <c r="I56" s="7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5"/>
      <c r="B57" s="72"/>
      <c r="C57" s="63"/>
      <c r="D57" s="73"/>
      <c r="E57" s="73"/>
      <c r="F57" s="73"/>
      <c r="G57" s="73"/>
      <c r="H57" s="73"/>
      <c r="I57" s="7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5"/>
      <c r="B58" s="33"/>
      <c r="C58" s="14"/>
      <c r="D58" s="14"/>
      <c r="E58" s="14"/>
      <c r="F58" s="14"/>
      <c r="G58" s="14"/>
      <c r="H58" s="33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14">
        <f>IF(G17=0,0,I69/G17)</f>
        <v>0.47442517041408078</v>
      </c>
      <c r="B59" s="714"/>
      <c r="C59" s="714"/>
      <c r="D59" s="714"/>
      <c r="E59" s="714"/>
      <c r="F59" s="714"/>
      <c r="G59" s="714"/>
      <c r="H59" s="714"/>
      <c r="I59" s="714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15" t="s">
        <v>0</v>
      </c>
      <c r="B61" s="717" t="s">
        <v>132</v>
      </c>
      <c r="C61" s="719" t="s">
        <v>2</v>
      </c>
      <c r="D61" s="721" t="str">
        <f>$D$4</f>
        <v>ОТЧЕТ към 31.12.2015 г.</v>
      </c>
      <c r="E61" s="721"/>
      <c r="F61" s="721"/>
      <c r="G61" s="722" t="str">
        <f>$G$4</f>
        <v>ОТЧЕТ към 31.12.2016 г.</v>
      </c>
      <c r="H61" s="722"/>
      <c r="I61" s="72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16"/>
      <c r="B62" s="718"/>
      <c r="C62" s="720"/>
      <c r="D62" s="4" t="s">
        <v>256</v>
      </c>
      <c r="E62" s="4" t="s">
        <v>85</v>
      </c>
      <c r="F62" s="5" t="s">
        <v>152</v>
      </c>
      <c r="G62" s="4" t="s">
        <v>256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1">
        <v>1</v>
      </c>
      <c r="B63" s="22">
        <v>2</v>
      </c>
      <c r="C63" s="22">
        <v>3</v>
      </c>
      <c r="D63" s="22">
        <v>4</v>
      </c>
      <c r="E63" s="36">
        <v>5</v>
      </c>
      <c r="F63" s="22" t="s">
        <v>80</v>
      </c>
      <c r="G63" s="22">
        <v>7</v>
      </c>
      <c r="H63" s="36">
        <v>8</v>
      </c>
      <c r="I63" s="23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09" t="s">
        <v>154</v>
      </c>
      <c r="B64" s="13" t="s">
        <v>5</v>
      </c>
      <c r="C64" s="12" t="s">
        <v>3</v>
      </c>
      <c r="D64" s="54">
        <f>SUM(D7,-D70,-E70)</f>
        <v>36782</v>
      </c>
      <c r="E64" s="54"/>
      <c r="F64" s="54">
        <f t="shared" ref="F64:F69" si="2">D64</f>
        <v>36782</v>
      </c>
      <c r="G64" s="54">
        <f>SUM(D25,-G70)</f>
        <v>36782</v>
      </c>
      <c r="H64" s="54"/>
      <c r="I64" s="82">
        <f t="shared" ref="I64:I69" si="3">G64</f>
        <v>36782</v>
      </c>
      <c r="J64" s="37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10"/>
      <c r="B65" s="13" t="s">
        <v>175</v>
      </c>
      <c r="C65" s="12" t="s">
        <v>3</v>
      </c>
      <c r="D65" s="54">
        <f>SUM(D14,-D71,-E71)</f>
        <v>0</v>
      </c>
      <c r="E65" s="54"/>
      <c r="F65" s="54">
        <f t="shared" si="2"/>
        <v>0</v>
      </c>
      <c r="G65" s="54">
        <f>SUM(D32,-G71)</f>
        <v>0</v>
      </c>
      <c r="H65" s="54"/>
      <c r="I65" s="82">
        <f t="shared" si="3"/>
        <v>0</v>
      </c>
      <c r="J65" s="37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10"/>
      <c r="B66" s="13" t="s">
        <v>153</v>
      </c>
      <c r="C66" s="12" t="s">
        <v>3</v>
      </c>
      <c r="D66" s="54">
        <f>SUM(D15,-D72,-E72)</f>
        <v>9492</v>
      </c>
      <c r="E66" s="54"/>
      <c r="F66" s="54">
        <f t="shared" si="2"/>
        <v>9492</v>
      </c>
      <c r="G66" s="54">
        <f>SUM(D33,-G72)</f>
        <v>9492</v>
      </c>
      <c r="H66" s="54"/>
      <c r="I66" s="82">
        <f t="shared" si="3"/>
        <v>9492</v>
      </c>
      <c r="J66" s="37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10"/>
      <c r="B67" s="13" t="s">
        <v>148</v>
      </c>
      <c r="C67" s="12" t="s">
        <v>94</v>
      </c>
      <c r="D67" s="54">
        <f>SUM(E6,-D73,-E73)</f>
        <v>8042</v>
      </c>
      <c r="E67" s="54"/>
      <c r="F67" s="54">
        <f t="shared" si="2"/>
        <v>8042</v>
      </c>
      <c r="G67" s="54">
        <f>SUM(E24,-G73)</f>
        <v>8042</v>
      </c>
      <c r="H67" s="54"/>
      <c r="I67" s="82">
        <f t="shared" si="3"/>
        <v>8042</v>
      </c>
      <c r="J67" s="37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10"/>
      <c r="B68" s="13" t="s">
        <v>6</v>
      </c>
      <c r="C68" s="12" t="s">
        <v>3</v>
      </c>
      <c r="D68" s="54">
        <f>SUM(D16,-D74,-E74)</f>
        <v>12424</v>
      </c>
      <c r="E68" s="54"/>
      <c r="F68" s="54">
        <f t="shared" si="2"/>
        <v>12424</v>
      </c>
      <c r="G68" s="54">
        <f>SUM(D34,-G74)</f>
        <v>18057</v>
      </c>
      <c r="H68" s="54"/>
      <c r="I68" s="82">
        <f t="shared" si="3"/>
        <v>18057</v>
      </c>
      <c r="J68" s="37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11"/>
      <c r="B69" s="41" t="s">
        <v>254</v>
      </c>
      <c r="C69" s="10" t="s">
        <v>3</v>
      </c>
      <c r="D69" s="93">
        <f>ROUND(SUM(D64:D65,D68)-D66-D67,3)</f>
        <v>31672</v>
      </c>
      <c r="E69" s="93"/>
      <c r="F69" s="93">
        <f t="shared" si="2"/>
        <v>31672</v>
      </c>
      <c r="G69" s="94">
        <f>ROUND(SUM(G64:G65,G68)-G66-G67,3)</f>
        <v>37305</v>
      </c>
      <c r="H69" s="94"/>
      <c r="I69" s="95">
        <f t="shared" si="3"/>
        <v>37305</v>
      </c>
      <c r="J69" s="37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12" t="s">
        <v>155</v>
      </c>
      <c r="B70" s="13" t="s">
        <v>5</v>
      </c>
      <c r="C70" s="12" t="s">
        <v>3</v>
      </c>
      <c r="D70" s="55">
        <v>22543</v>
      </c>
      <c r="E70" s="55">
        <v>36484</v>
      </c>
      <c r="F70" s="54">
        <f t="shared" ref="F70:F76" si="4">SUM(D70:E70)</f>
        <v>59027</v>
      </c>
      <c r="G70" s="55">
        <v>22543</v>
      </c>
      <c r="H70" s="101">
        <f>G25</f>
        <v>36484</v>
      </c>
      <c r="I70" s="82">
        <f t="shared" ref="I70:I76" si="5">SUM(G70:H70)</f>
        <v>59027</v>
      </c>
      <c r="J70" s="37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12"/>
      <c r="B71" s="13" t="s">
        <v>175</v>
      </c>
      <c r="C71" s="12" t="s">
        <v>3</v>
      </c>
      <c r="D71" s="55"/>
      <c r="E71" s="55"/>
      <c r="F71" s="54">
        <f t="shared" si="4"/>
        <v>0</v>
      </c>
      <c r="G71" s="55"/>
      <c r="H71" s="101">
        <f>G32</f>
        <v>0</v>
      </c>
      <c r="I71" s="82">
        <f t="shared" si="5"/>
        <v>0</v>
      </c>
      <c r="J71" s="37"/>
    </row>
    <row r="72" spans="1:36" ht="15" customHeight="1">
      <c r="A72" s="712"/>
      <c r="B72" s="13" t="s">
        <v>153</v>
      </c>
      <c r="C72" s="12" t="s">
        <v>3</v>
      </c>
      <c r="D72" s="55">
        <v>5818</v>
      </c>
      <c r="E72" s="55">
        <v>1652</v>
      </c>
      <c r="F72" s="54">
        <f t="shared" si="4"/>
        <v>7470</v>
      </c>
      <c r="G72" s="55">
        <v>5818</v>
      </c>
      <c r="H72" s="101">
        <f>G33</f>
        <v>1652</v>
      </c>
      <c r="I72" s="82">
        <f t="shared" si="5"/>
        <v>7470</v>
      </c>
      <c r="J72" s="37"/>
    </row>
    <row r="73" spans="1:36" ht="15" customHeight="1">
      <c r="A73" s="712"/>
      <c r="B73" s="13" t="s">
        <v>148</v>
      </c>
      <c r="C73" s="12" t="s">
        <v>94</v>
      </c>
      <c r="D73" s="55">
        <v>4929</v>
      </c>
      <c r="E73" s="55">
        <v>7386</v>
      </c>
      <c r="F73" s="54">
        <f t="shared" si="4"/>
        <v>12315</v>
      </c>
      <c r="G73" s="55">
        <v>4929</v>
      </c>
      <c r="H73" s="101">
        <f>H24</f>
        <v>7386</v>
      </c>
      <c r="I73" s="82">
        <f t="shared" si="5"/>
        <v>12315</v>
      </c>
      <c r="J73" s="37"/>
    </row>
    <row r="74" spans="1:36" ht="15" customHeight="1">
      <c r="A74" s="712"/>
      <c r="B74" s="13" t="s">
        <v>6</v>
      </c>
      <c r="C74" s="12" t="s">
        <v>3</v>
      </c>
      <c r="D74" s="55">
        <v>2084</v>
      </c>
      <c r="E74" s="55">
        <v>5634</v>
      </c>
      <c r="F74" s="54">
        <f t="shared" si="4"/>
        <v>7718</v>
      </c>
      <c r="G74" s="55">
        <v>2084</v>
      </c>
      <c r="H74" s="101">
        <f>G34</f>
        <v>0</v>
      </c>
      <c r="I74" s="82">
        <f t="shared" si="5"/>
        <v>2084</v>
      </c>
      <c r="J74" s="37"/>
    </row>
    <row r="75" spans="1:36" ht="30" customHeight="1" thickBot="1">
      <c r="A75" s="713"/>
      <c r="B75" s="42" t="s">
        <v>255</v>
      </c>
      <c r="C75" s="38" t="s">
        <v>3</v>
      </c>
      <c r="D75" s="91">
        <f>ROUND(SUM(D70:D71,D74)-D72-D73,3)</f>
        <v>13880</v>
      </c>
      <c r="E75" s="91">
        <f>ROUND(SUM(E70:E71,E74)-E72-E73,3)</f>
        <v>33080</v>
      </c>
      <c r="F75" s="91">
        <f t="shared" si="4"/>
        <v>46960</v>
      </c>
      <c r="G75" s="91">
        <f>ROUND(SUM(G70:G71,G74)-G72-G73,3)</f>
        <v>13880</v>
      </c>
      <c r="H75" s="91">
        <f>ROUND(SUM(H70:H71,H74)-H72-H73,3)</f>
        <v>27446</v>
      </c>
      <c r="I75" s="92">
        <f t="shared" si="5"/>
        <v>41326</v>
      </c>
      <c r="J75" s="37"/>
    </row>
    <row r="76" spans="1:36" ht="30" customHeight="1" thickTop="1" thickBot="1">
      <c r="A76" s="516" t="s">
        <v>712</v>
      </c>
      <c r="B76" s="96" t="s">
        <v>711</v>
      </c>
      <c r="C76" s="97" t="s">
        <v>3</v>
      </c>
      <c r="D76" s="98">
        <f>ROUND(SUM(D69,D75),3)</f>
        <v>45552</v>
      </c>
      <c r="E76" s="98">
        <f>ROUND(SUM(E69,E75),3)</f>
        <v>33080</v>
      </c>
      <c r="F76" s="98">
        <f t="shared" si="4"/>
        <v>78632</v>
      </c>
      <c r="G76" s="98">
        <f>ROUND(SUM(G69,G75),3)</f>
        <v>51185</v>
      </c>
      <c r="H76" s="98">
        <f>ROUND(SUM(H69,H75),3)</f>
        <v>27446</v>
      </c>
      <c r="I76" s="99">
        <f t="shared" si="5"/>
        <v>78631</v>
      </c>
      <c r="J76" s="37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260</v>
      </c>
      <c r="B80" s="17"/>
      <c r="C80" s="3"/>
      <c r="D80" s="11"/>
      <c r="E80" s="19"/>
      <c r="F80" s="18" t="s">
        <v>259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233" t="s">
        <v>778</v>
      </c>
      <c r="C81" s="11"/>
      <c r="D81" s="3"/>
      <c r="E81" s="3"/>
      <c r="F81" s="3"/>
      <c r="G81" s="708" t="str">
        <f>[1]ОБЩА!D73</f>
        <v>/ Xxxxxx                  /</v>
      </c>
      <c r="H81" s="708"/>
      <c r="I81" s="708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H32:I32"/>
    <mergeCell ref="E33:F33"/>
    <mergeCell ref="H33:I33"/>
    <mergeCell ref="D34:F34"/>
    <mergeCell ref="G34:I34"/>
    <mergeCell ref="D35:F35"/>
    <mergeCell ref="G35:I35"/>
    <mergeCell ref="E32:F32"/>
    <mergeCell ref="H27:I27"/>
    <mergeCell ref="E28:F28"/>
    <mergeCell ref="E30:F30"/>
    <mergeCell ref="H30:I30"/>
    <mergeCell ref="E29:F29"/>
    <mergeCell ref="E31:F31"/>
    <mergeCell ref="H31:I31"/>
    <mergeCell ref="H29:I29"/>
    <mergeCell ref="H28:I28"/>
    <mergeCell ref="E27:F27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B2:C2"/>
    <mergeCell ref="E26:F26"/>
    <mergeCell ref="H26:I26"/>
    <mergeCell ref="E15:F15"/>
    <mergeCell ref="E14:F14"/>
    <mergeCell ref="E12:F12"/>
    <mergeCell ref="H24:I24"/>
    <mergeCell ref="H7:I7"/>
    <mergeCell ref="E6:F6"/>
    <mergeCell ref="H6:I6"/>
    <mergeCell ref="E13:F13"/>
    <mergeCell ref="D16:F16"/>
    <mergeCell ref="G16:I16"/>
    <mergeCell ref="H10:I10"/>
    <mergeCell ref="E11:F11"/>
    <mergeCell ref="H8:I8"/>
    <mergeCell ref="H12:I12"/>
    <mergeCell ref="H13:I13"/>
    <mergeCell ref="H14:I14"/>
    <mergeCell ref="H15:I15"/>
    <mergeCell ref="D17:F17"/>
    <mergeCell ref="G17:I17"/>
    <mergeCell ref="A20:I20"/>
    <mergeCell ref="A22:A23"/>
    <mergeCell ref="A4:A5"/>
    <mergeCell ref="B4:B5"/>
    <mergeCell ref="C4:C5"/>
    <mergeCell ref="D4:F4"/>
    <mergeCell ref="G4:I4"/>
    <mergeCell ref="E5:F5"/>
    <mergeCell ref="H5:I5"/>
    <mergeCell ref="B22:B23"/>
    <mergeCell ref="C22:C23"/>
    <mergeCell ref="D22:F22"/>
    <mergeCell ref="G22:I22"/>
    <mergeCell ref="E23:F23"/>
    <mergeCell ref="H23:I23"/>
    <mergeCell ref="A38:I38"/>
    <mergeCell ref="A40:A41"/>
    <mergeCell ref="B40:B41"/>
    <mergeCell ref="C40:C41"/>
    <mergeCell ref="D40:F40"/>
    <mergeCell ref="G40:I40"/>
    <mergeCell ref="E41:F41"/>
    <mergeCell ref="H41:I41"/>
    <mergeCell ref="E42:F42"/>
    <mergeCell ref="H42:I42"/>
    <mergeCell ref="E43:F43"/>
    <mergeCell ref="H43:I43"/>
    <mergeCell ref="E44:F44"/>
    <mergeCell ref="H44:I44"/>
    <mergeCell ref="E45:F45"/>
    <mergeCell ref="H45:I45"/>
    <mergeCell ref="E46:F46"/>
    <mergeCell ref="H46:I46"/>
    <mergeCell ref="E47:F47"/>
    <mergeCell ref="H47:I47"/>
    <mergeCell ref="E48:F48"/>
    <mergeCell ref="H48:I48"/>
    <mergeCell ref="E49:F49"/>
    <mergeCell ref="H49:I49"/>
    <mergeCell ref="E50:F50"/>
    <mergeCell ref="H50:I50"/>
    <mergeCell ref="E51:F51"/>
    <mergeCell ref="H51:I51"/>
    <mergeCell ref="D52:F52"/>
    <mergeCell ref="G52:I52"/>
    <mergeCell ref="D53:F53"/>
    <mergeCell ref="G53:I53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D44:F52 H70:H71 H73:H74 H72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showGridLines="0" showZeros="0" topLeftCell="A19" workbookViewId="0">
      <selection activeCell="G13" sqref="G13"/>
    </sheetView>
  </sheetViews>
  <sheetFormatPr defaultColWidth="0" defaultRowHeight="12.75" zeroHeight="1"/>
  <cols>
    <col min="1" max="1" width="3.85546875" style="103" customWidth="1"/>
    <col min="2" max="2" width="20.28515625" style="103" customWidth="1"/>
    <col min="3" max="4" width="11" style="103" customWidth="1"/>
    <col min="5" max="5" width="7.7109375" style="103" customWidth="1"/>
    <col min="6" max="6" width="16.7109375" style="103" customWidth="1"/>
    <col min="7" max="7" width="20.28515625" style="103" customWidth="1"/>
    <col min="8" max="8" width="7.7109375" style="103" customWidth="1"/>
    <col min="9" max="12" width="7.7109375" style="103" hidden="1" customWidth="1"/>
    <col min="13" max="16384" width="0" style="103" hidden="1"/>
  </cols>
  <sheetData>
    <row r="1" spans="1:8" ht="18.75">
      <c r="A1" s="102"/>
      <c r="B1" s="755">
        <v>3</v>
      </c>
      <c r="C1" s="755"/>
      <c r="D1" s="755"/>
      <c r="E1" s="755"/>
      <c r="F1" s="237"/>
      <c r="G1" s="133" t="s">
        <v>693</v>
      </c>
    </row>
    <row r="2" spans="1:8">
      <c r="A2" s="102"/>
      <c r="B2" s="102"/>
      <c r="C2" s="102"/>
      <c r="D2" s="102"/>
      <c r="E2" s="102"/>
      <c r="F2" s="102"/>
      <c r="G2" s="102"/>
    </row>
    <row r="3" spans="1:8">
      <c r="A3" s="102"/>
      <c r="B3" s="102"/>
      <c r="C3" s="102"/>
      <c r="D3" s="102"/>
      <c r="E3" s="102"/>
      <c r="F3" s="102"/>
      <c r="G3" s="102"/>
    </row>
    <row r="4" spans="1:8" ht="15.75" customHeight="1">
      <c r="A4" s="152"/>
      <c r="B4" s="756" t="s">
        <v>156</v>
      </c>
      <c r="C4" s="756"/>
      <c r="D4" s="756"/>
      <c r="E4" s="756"/>
      <c r="F4" s="152"/>
      <c r="G4" s="152"/>
    </row>
    <row r="5" spans="1:8" ht="15.75">
      <c r="A5" s="238"/>
      <c r="B5" s="757" t="str">
        <f>'ТИП-ПРОИЗ'!$B$3:$C$3</f>
        <v>"Топлофикация- Перник" АД</v>
      </c>
      <c r="C5" s="757"/>
      <c r="D5" s="757"/>
      <c r="E5" s="757"/>
      <c r="F5" s="238"/>
      <c r="G5" s="238"/>
    </row>
    <row r="6" spans="1:8" ht="15.75">
      <c r="A6" s="238"/>
      <c r="B6" s="239"/>
      <c r="C6" s="239"/>
      <c r="D6" s="239"/>
      <c r="E6" s="238"/>
      <c r="F6" s="238"/>
      <c r="G6" s="238"/>
    </row>
    <row r="7" spans="1:8" ht="15.75">
      <c r="A7" s="238"/>
      <c r="B7" s="239"/>
      <c r="C7" s="239"/>
      <c r="D7" s="239"/>
      <c r="E7" s="238"/>
      <c r="F7" s="238"/>
      <c r="G7" s="238"/>
    </row>
    <row r="8" spans="1:8"/>
    <row r="9" spans="1:8" ht="13.5" thickBot="1">
      <c r="A9" s="115"/>
      <c r="B9" s="115"/>
      <c r="C9" s="115"/>
      <c r="D9" s="115"/>
      <c r="E9" s="115"/>
      <c r="F9" s="115"/>
      <c r="G9" s="115"/>
    </row>
    <row r="10" spans="1:8" s="106" customFormat="1" ht="30" customHeight="1" thickTop="1">
      <c r="A10" s="240" t="s">
        <v>0</v>
      </c>
      <c r="B10" s="758" t="s">
        <v>71</v>
      </c>
      <c r="C10" s="759"/>
      <c r="D10" s="760"/>
      <c r="E10" s="241" t="s">
        <v>41</v>
      </c>
      <c r="F10" s="242" t="s">
        <v>783</v>
      </c>
      <c r="G10" s="522" t="s">
        <v>784</v>
      </c>
      <c r="H10" s="243"/>
    </row>
    <row r="11" spans="1:8" s="106" customFormat="1">
      <c r="A11" s="244">
        <v>1</v>
      </c>
      <c r="B11" s="761">
        <v>2</v>
      </c>
      <c r="C11" s="762"/>
      <c r="D11" s="763"/>
      <c r="E11" s="245">
        <v>3</v>
      </c>
      <c r="F11" s="245">
        <v>4</v>
      </c>
      <c r="G11" s="246">
        <v>5</v>
      </c>
      <c r="H11" s="247"/>
    </row>
    <row r="12" spans="1:8" s="250" customFormat="1" ht="15">
      <c r="A12" s="188">
        <v>1</v>
      </c>
      <c r="B12" s="752" t="s">
        <v>72</v>
      </c>
      <c r="C12" s="753"/>
      <c r="D12" s="754"/>
      <c r="E12" s="248" t="s">
        <v>73</v>
      </c>
      <c r="F12" s="74">
        <v>97559</v>
      </c>
      <c r="G12" s="74">
        <v>97559</v>
      </c>
      <c r="H12" s="249"/>
    </row>
    <row r="13" spans="1:8" s="250" customFormat="1" ht="15" customHeight="1">
      <c r="A13" s="188">
        <v>2</v>
      </c>
      <c r="B13" s="752" t="s">
        <v>92</v>
      </c>
      <c r="C13" s="753"/>
      <c r="D13" s="754"/>
      <c r="E13" s="248" t="s">
        <v>7</v>
      </c>
      <c r="F13" s="251">
        <f>IF(F12+F15=0,0,F12/(F12+F15))</f>
        <v>0.9306489616422936</v>
      </c>
      <c r="G13" s="252">
        <f>IF(G12+G15=0,0,G12/(G12+G15))</f>
        <v>0.9306489616422936</v>
      </c>
      <c r="H13" s="253"/>
    </row>
    <row r="14" spans="1:8" s="250" customFormat="1" ht="17.25" customHeight="1">
      <c r="A14" s="188">
        <v>3</v>
      </c>
      <c r="B14" s="752" t="s">
        <v>74</v>
      </c>
      <c r="C14" s="753"/>
      <c r="D14" s="754"/>
      <c r="E14" s="248" t="s">
        <v>7</v>
      </c>
      <c r="F14" s="75">
        <v>4.1700000000000001E-2</v>
      </c>
      <c r="G14" s="517">
        <v>4.1700000000000001E-2</v>
      </c>
      <c r="H14" s="254"/>
    </row>
    <row r="15" spans="1:8" s="250" customFormat="1" ht="15" customHeight="1">
      <c r="A15" s="188">
        <v>4</v>
      </c>
      <c r="B15" s="752" t="s">
        <v>91</v>
      </c>
      <c r="C15" s="753"/>
      <c r="D15" s="754"/>
      <c r="E15" s="248" t="s">
        <v>73</v>
      </c>
      <c r="F15" s="255">
        <f>SUM(F16:F17)</f>
        <v>7270</v>
      </c>
      <c r="G15" s="256">
        <f>SUM(G16:G17)</f>
        <v>7270</v>
      </c>
      <c r="H15" s="249"/>
    </row>
    <row r="16" spans="1:8" s="250" customFormat="1" ht="15" customHeight="1">
      <c r="A16" s="188"/>
      <c r="B16" s="752" t="s">
        <v>89</v>
      </c>
      <c r="C16" s="753"/>
      <c r="D16" s="754"/>
      <c r="E16" s="248" t="s">
        <v>73</v>
      </c>
      <c r="F16" s="74">
        <v>24</v>
      </c>
      <c r="G16" s="74">
        <v>24</v>
      </c>
      <c r="H16" s="249"/>
    </row>
    <row r="17" spans="1:8" s="250" customFormat="1" ht="15">
      <c r="A17" s="188"/>
      <c r="B17" s="752" t="s">
        <v>90</v>
      </c>
      <c r="C17" s="753"/>
      <c r="D17" s="754"/>
      <c r="E17" s="248" t="s">
        <v>73</v>
      </c>
      <c r="F17" s="74">
        <v>7246</v>
      </c>
      <c r="G17" s="74">
        <v>7246</v>
      </c>
      <c r="H17" s="249"/>
    </row>
    <row r="18" spans="1:8" s="250" customFormat="1" ht="15" customHeight="1">
      <c r="A18" s="188">
        <v>5</v>
      </c>
      <c r="B18" s="752" t="s">
        <v>93</v>
      </c>
      <c r="C18" s="753"/>
      <c r="D18" s="754"/>
      <c r="E18" s="248" t="s">
        <v>7</v>
      </c>
      <c r="F18" s="251">
        <f>IF(F12+F15=0,0,F15/(F12+F15))</f>
        <v>6.9351038357706354E-2</v>
      </c>
      <c r="G18" s="252">
        <f>IF(G12+G15=0,0,G15/(G12+G15))</f>
        <v>6.9351038357706354E-2</v>
      </c>
      <c r="H18" s="253"/>
    </row>
    <row r="19" spans="1:8" s="250" customFormat="1" ht="30" customHeight="1">
      <c r="A19" s="188">
        <v>6</v>
      </c>
      <c r="B19" s="752" t="s">
        <v>75</v>
      </c>
      <c r="C19" s="753"/>
      <c r="D19" s="754"/>
      <c r="E19" s="248" t="s">
        <v>7</v>
      </c>
      <c r="F19" s="75"/>
      <c r="G19" s="517"/>
      <c r="H19" s="254"/>
    </row>
    <row r="20" spans="1:8" s="250" customFormat="1" ht="15">
      <c r="A20" s="188">
        <v>7</v>
      </c>
      <c r="B20" s="752" t="s">
        <v>76</v>
      </c>
      <c r="C20" s="753"/>
      <c r="D20" s="754"/>
      <c r="E20" s="248" t="s">
        <v>7</v>
      </c>
      <c r="F20" s="75">
        <v>0.1</v>
      </c>
      <c r="G20" s="517">
        <v>0.1</v>
      </c>
      <c r="H20" s="257"/>
    </row>
    <row r="21" spans="1:8" ht="13.5" thickBot="1">
      <c r="A21" s="258">
        <v>8</v>
      </c>
      <c r="B21" s="773" t="s">
        <v>77</v>
      </c>
      <c r="C21" s="774"/>
      <c r="D21" s="775"/>
      <c r="E21" s="259" t="s">
        <v>7</v>
      </c>
      <c r="F21" s="260">
        <f>ROUND(F19*F18+F14*F13*(F20/(1-F20)+1),4)</f>
        <v>4.3099999999999999E-2</v>
      </c>
      <c r="G21" s="261">
        <f>ROUND(G19*G18+G14*G13*(G20/(1-G20)+1),4)</f>
        <v>4.3099999999999999E-2</v>
      </c>
      <c r="H21" s="262"/>
    </row>
    <row r="22" spans="1:8" ht="13.5" thickTop="1"/>
    <row r="23" spans="1:8"/>
    <row r="24" spans="1:8">
      <c r="B24" s="770" t="s">
        <v>773</v>
      </c>
      <c r="C24" s="770"/>
      <c r="D24" s="770"/>
      <c r="E24" s="770"/>
    </row>
    <row r="25" spans="1:8" ht="13.5" thickBot="1">
      <c r="B25" s="263"/>
      <c r="C25" s="263"/>
      <c r="D25" s="263"/>
      <c r="E25" s="263"/>
    </row>
    <row r="26" spans="1:8" ht="26.25" customHeight="1" thickTop="1">
      <c r="A26" s="764" t="s">
        <v>0</v>
      </c>
      <c r="B26" s="766" t="s">
        <v>283</v>
      </c>
      <c r="C26" s="766" t="s">
        <v>451</v>
      </c>
      <c r="D26" s="766" t="s">
        <v>449</v>
      </c>
      <c r="E26" s="771" t="s">
        <v>450</v>
      </c>
      <c r="F26" s="264" t="s">
        <v>285</v>
      </c>
      <c r="G26" s="518" t="s">
        <v>713</v>
      </c>
    </row>
    <row r="27" spans="1:8" ht="26.25" customHeight="1">
      <c r="A27" s="765"/>
      <c r="B27" s="767"/>
      <c r="C27" s="767"/>
      <c r="D27" s="767"/>
      <c r="E27" s="772"/>
      <c r="F27" s="266" t="str">
        <f>'ТИП-ПРОИЗ'!$E$5</f>
        <v>ОТЧЕТ</v>
      </c>
      <c r="G27" s="523" t="str">
        <f>G10</f>
        <v>Към 31.12.2016 г.</v>
      </c>
    </row>
    <row r="28" spans="1:8" ht="12.75" customHeight="1">
      <c r="A28" s="265">
        <v>4</v>
      </c>
      <c r="B28" s="267" t="s">
        <v>288</v>
      </c>
      <c r="C28" s="268">
        <f>SUM(C29,C34)</f>
        <v>7279</v>
      </c>
      <c r="D28" s="268"/>
      <c r="E28" s="269">
        <f>IF(C28=0,0,SUM(C29*E29,C34*E34)/C28)</f>
        <v>8.2988322571781858E-3</v>
      </c>
      <c r="F28" s="270">
        <f>SUM(F29,F34)</f>
        <v>9</v>
      </c>
      <c r="G28" s="519">
        <f>SUM(G29,G34)</f>
        <v>7270</v>
      </c>
    </row>
    <row r="29" spans="1:8">
      <c r="A29" s="179" t="s">
        <v>257</v>
      </c>
      <c r="B29" s="271" t="s">
        <v>286</v>
      </c>
      <c r="C29" s="272">
        <f>SUM(C30:C33)</f>
        <v>33</v>
      </c>
      <c r="D29" s="272"/>
      <c r="E29" s="269">
        <f>ROUND(IF(C29=0,0,SUMPRODUCT(C30:C33,E30:E33)/C29),4)</f>
        <v>0.03</v>
      </c>
      <c r="F29" s="273">
        <f>SUM(F30:F33)</f>
        <v>9</v>
      </c>
      <c r="G29" s="274">
        <f>SUM(G30:G33)</f>
        <v>24</v>
      </c>
    </row>
    <row r="30" spans="1:8">
      <c r="A30" s="188"/>
      <c r="B30" s="200" t="s">
        <v>284</v>
      </c>
      <c r="C30" s="49">
        <v>33</v>
      </c>
      <c r="D30" s="49">
        <v>5</v>
      </c>
      <c r="E30" s="50">
        <v>0.03</v>
      </c>
      <c r="F30" s="49">
        <v>9</v>
      </c>
      <c r="G30" s="520">
        <f>SUM(C30,-F30)</f>
        <v>24</v>
      </c>
    </row>
    <row r="31" spans="1:8" ht="15" customHeight="1">
      <c r="A31" s="188"/>
      <c r="B31" s="200" t="s">
        <v>284</v>
      </c>
      <c r="C31" s="49"/>
      <c r="D31" s="49"/>
      <c r="E31" s="50"/>
      <c r="F31" s="49"/>
      <c r="G31" s="520">
        <f>SUM(C31,-F31)</f>
        <v>0</v>
      </c>
    </row>
    <row r="32" spans="1:8" ht="15" customHeight="1">
      <c r="A32" s="188"/>
      <c r="B32" s="200" t="s">
        <v>284</v>
      </c>
      <c r="C32" s="49"/>
      <c r="D32" s="49"/>
      <c r="E32" s="50"/>
      <c r="F32" s="49"/>
      <c r="G32" s="520">
        <f>SUM(C32,-F32)</f>
        <v>0</v>
      </c>
    </row>
    <row r="33" spans="1:10" ht="15" customHeight="1">
      <c r="A33" s="188"/>
      <c r="B33" s="200" t="s">
        <v>284</v>
      </c>
      <c r="C33" s="49"/>
      <c r="D33" s="49"/>
      <c r="E33" s="50"/>
      <c r="F33" s="49"/>
      <c r="G33" s="520">
        <f>SUM(C33,-F33)</f>
        <v>0</v>
      </c>
    </row>
    <row r="34" spans="1:10" ht="12.75" customHeight="1">
      <c r="A34" s="179" t="s">
        <v>258</v>
      </c>
      <c r="B34" s="275" t="s">
        <v>287</v>
      </c>
      <c r="C34" s="276">
        <f>SUM(C35:C43)</f>
        <v>7246</v>
      </c>
      <c r="D34" s="276"/>
      <c r="E34" s="269">
        <f>ROUND(IF(C34=0,0,SUMPRODUCT(C35:C43,E35:E43)/C34),4)</f>
        <v>8.2000000000000007E-3</v>
      </c>
      <c r="F34" s="273">
        <f>SUM(F35:F43)</f>
        <v>0</v>
      </c>
      <c r="G34" s="274">
        <f>SUM(G35:G43)</f>
        <v>7246</v>
      </c>
    </row>
    <row r="35" spans="1:10">
      <c r="A35" s="188"/>
      <c r="B35" s="200" t="s">
        <v>284</v>
      </c>
      <c r="C35" s="49">
        <v>4744</v>
      </c>
      <c r="D35" s="49">
        <v>12</v>
      </c>
      <c r="E35" s="50">
        <v>1.2500000000000001E-2</v>
      </c>
      <c r="F35" s="49"/>
      <c r="G35" s="520">
        <f t="shared" ref="G35:G43" si="0">SUM(C35,-F35)</f>
        <v>4744</v>
      </c>
    </row>
    <row r="36" spans="1:10">
      <c r="A36" s="188"/>
      <c r="B36" s="200" t="s">
        <v>284</v>
      </c>
      <c r="C36" s="49">
        <v>2502</v>
      </c>
      <c r="D36" s="49">
        <v>1</v>
      </c>
      <c r="E36" s="50"/>
      <c r="F36" s="49"/>
      <c r="G36" s="520">
        <f t="shared" si="0"/>
        <v>2502</v>
      </c>
    </row>
    <row r="37" spans="1:10">
      <c r="A37" s="188"/>
      <c r="B37" s="200" t="s">
        <v>284</v>
      </c>
      <c r="C37" s="49"/>
      <c r="D37" s="49"/>
      <c r="E37" s="50"/>
      <c r="F37" s="49"/>
      <c r="G37" s="520">
        <f t="shared" si="0"/>
        <v>0</v>
      </c>
    </row>
    <row r="38" spans="1:10">
      <c r="A38" s="188"/>
      <c r="B38" s="200" t="s">
        <v>284</v>
      </c>
      <c r="C38" s="49"/>
      <c r="D38" s="49"/>
      <c r="E38" s="50"/>
      <c r="F38" s="49"/>
      <c r="G38" s="520">
        <f t="shared" si="0"/>
        <v>0</v>
      </c>
    </row>
    <row r="39" spans="1:10">
      <c r="A39" s="188"/>
      <c r="B39" s="200" t="s">
        <v>284</v>
      </c>
      <c r="C39" s="49"/>
      <c r="D39" s="49"/>
      <c r="E39" s="50"/>
      <c r="F39" s="49"/>
      <c r="G39" s="520">
        <f t="shared" si="0"/>
        <v>0</v>
      </c>
    </row>
    <row r="40" spans="1:10">
      <c r="A40" s="188"/>
      <c r="B40" s="200" t="s">
        <v>284</v>
      </c>
      <c r="C40" s="49"/>
      <c r="D40" s="49"/>
      <c r="E40" s="50"/>
      <c r="F40" s="49"/>
      <c r="G40" s="520">
        <f t="shared" si="0"/>
        <v>0</v>
      </c>
    </row>
    <row r="41" spans="1:10">
      <c r="A41" s="188"/>
      <c r="B41" s="200" t="s">
        <v>284</v>
      </c>
      <c r="C41" s="49"/>
      <c r="D41" s="49"/>
      <c r="E41" s="50"/>
      <c r="F41" s="49"/>
      <c r="G41" s="520">
        <f t="shared" si="0"/>
        <v>0</v>
      </c>
    </row>
    <row r="42" spans="1:10">
      <c r="A42" s="188"/>
      <c r="B42" s="200" t="s">
        <v>284</v>
      </c>
      <c r="C42" s="49"/>
      <c r="D42" s="49"/>
      <c r="E42" s="50"/>
      <c r="F42" s="49"/>
      <c r="G42" s="520">
        <f t="shared" si="0"/>
        <v>0</v>
      </c>
    </row>
    <row r="43" spans="1:10" ht="13.5" thickBot="1">
      <c r="A43" s="277"/>
      <c r="B43" s="278" t="s">
        <v>284</v>
      </c>
      <c r="C43" s="51"/>
      <c r="D43" s="51"/>
      <c r="E43" s="52"/>
      <c r="F43" s="51"/>
      <c r="G43" s="521">
        <f t="shared" si="0"/>
        <v>0</v>
      </c>
    </row>
    <row r="44" spans="1:10" ht="13.5" thickTop="1">
      <c r="H44" s="135"/>
      <c r="I44" s="135"/>
    </row>
    <row r="45" spans="1:10" ht="15">
      <c r="A45" s="279" t="s">
        <v>98</v>
      </c>
      <c r="B45" s="280"/>
      <c r="C45" s="132"/>
      <c r="D45" s="132"/>
      <c r="E45" s="106"/>
      <c r="F45" s="106"/>
      <c r="G45" s="106"/>
      <c r="H45" s="105"/>
      <c r="I45" s="105"/>
      <c r="J45" s="105"/>
    </row>
    <row r="46" spans="1:10" ht="15">
      <c r="A46" s="281" t="s">
        <v>179</v>
      </c>
      <c r="B46" s="769" t="s">
        <v>332</v>
      </c>
      <c r="C46" s="769"/>
      <c r="D46" s="769"/>
      <c r="E46" s="769"/>
      <c r="F46" s="769"/>
      <c r="G46" s="769"/>
      <c r="H46" s="283"/>
      <c r="I46" s="283"/>
      <c r="J46" s="283"/>
    </row>
    <row r="47" spans="1:10" ht="15">
      <c r="A47" s="281"/>
      <c r="B47" s="282"/>
      <c r="C47" s="282"/>
      <c r="D47" s="282"/>
      <c r="E47" s="282"/>
      <c r="F47" s="282"/>
      <c r="G47" s="282"/>
      <c r="H47" s="283"/>
      <c r="I47" s="283"/>
      <c r="J47" s="283"/>
    </row>
    <row r="48" spans="1:10" ht="15">
      <c r="A48" s="281"/>
      <c r="B48" s="282"/>
      <c r="C48" s="282"/>
      <c r="D48" s="282"/>
      <c r="E48" s="282"/>
      <c r="F48" s="282"/>
      <c r="G48" s="282"/>
      <c r="H48" s="283"/>
      <c r="I48" s="283"/>
      <c r="J48" s="283"/>
    </row>
    <row r="49" spans="1:10" ht="15">
      <c r="A49" s="281"/>
      <c r="B49" s="282"/>
      <c r="C49" s="282"/>
      <c r="D49" s="282"/>
      <c r="E49" s="282"/>
      <c r="F49" s="282"/>
      <c r="G49" s="282"/>
      <c r="H49" s="283"/>
      <c r="I49" s="283"/>
      <c r="J49" s="283"/>
    </row>
    <row r="50" spans="1:10" ht="15">
      <c r="A50" s="281"/>
      <c r="B50" s="282"/>
      <c r="C50" s="282"/>
      <c r="D50" s="282"/>
      <c r="E50" s="282"/>
      <c r="F50" s="282"/>
      <c r="G50" s="282"/>
      <c r="H50" s="283"/>
      <c r="I50" s="283"/>
      <c r="J50" s="283"/>
    </row>
    <row r="51" spans="1:10"/>
    <row r="52" spans="1:10" ht="15.75">
      <c r="A52" s="132" t="str">
        <f>Разходи!$A$91</f>
        <v>Гл. счетоводител:</v>
      </c>
      <c r="B52" s="284"/>
      <c r="C52" s="284"/>
      <c r="D52" s="284"/>
      <c r="E52" s="134" t="str">
        <f>Разходи!$E$91</f>
        <v>Изп. директор:</v>
      </c>
    </row>
    <row r="53" spans="1:10"/>
    <row r="54" spans="1:10">
      <c r="A54" s="132"/>
      <c r="B54" s="285" t="str">
        <f>Разходи!$B$93</f>
        <v>/ Л. Джамбазка /</v>
      </c>
      <c r="C54" s="285"/>
      <c r="D54" s="285"/>
      <c r="E54" s="105"/>
      <c r="F54" s="768" t="str">
        <f>Разходи!$F$93</f>
        <v>/Ст. Йорданов/</v>
      </c>
      <c r="G54" s="768"/>
    </row>
    <row r="55" spans="1:10"/>
    <row r="56" spans="1:10"/>
    <row r="57" spans="1:10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</sheetData>
  <mergeCells count="23">
    <mergeCell ref="F54:G54"/>
    <mergeCell ref="B46:G46"/>
    <mergeCell ref="B24:E24"/>
    <mergeCell ref="B16:D16"/>
    <mergeCell ref="B17:D17"/>
    <mergeCell ref="E26:E27"/>
    <mergeCell ref="B21:D21"/>
    <mergeCell ref="B19:D19"/>
    <mergeCell ref="A26:A27"/>
    <mergeCell ref="B26:B27"/>
    <mergeCell ref="C26:C27"/>
    <mergeCell ref="D26:D27"/>
    <mergeCell ref="B15:D15"/>
    <mergeCell ref="B13:D13"/>
    <mergeCell ref="B14:D14"/>
    <mergeCell ref="B20:D20"/>
    <mergeCell ref="B1:E1"/>
    <mergeCell ref="B4:E4"/>
    <mergeCell ref="B5:E5"/>
    <mergeCell ref="B18:D18"/>
    <mergeCell ref="B10:D10"/>
    <mergeCell ref="B11:D11"/>
    <mergeCell ref="B12:D12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F29" formulaRange="1" unlockedFormula="1"/>
    <ignoredError sqref="F34 G29:G33 G35:G4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2"/>
  <sheetViews>
    <sheetView showGridLines="0" showZeros="0" topLeftCell="B1" workbookViewId="0">
      <pane ySplit="7" topLeftCell="A146" activePane="bottomLeft" state="frozen"/>
      <selection pane="bottomLeft" activeCell="G104" sqref="G104"/>
    </sheetView>
  </sheetViews>
  <sheetFormatPr defaultColWidth="0" defaultRowHeight="12.75" zeroHeight="1"/>
  <cols>
    <col min="1" max="1" width="5.5703125" style="106" customWidth="1"/>
    <col min="2" max="2" width="75.42578125" style="132" customWidth="1"/>
    <col min="3" max="3" width="10.5703125" style="106" customWidth="1"/>
    <col min="4" max="4" width="10" style="106" customWidth="1"/>
    <col min="5" max="5" width="15.5703125" style="132" customWidth="1"/>
    <col min="6" max="6" width="16" style="132" customWidth="1"/>
    <col min="7" max="7" width="15.7109375" style="132" customWidth="1"/>
    <col min="8" max="16384" width="0" style="132" hidden="1"/>
  </cols>
  <sheetData>
    <row r="1" spans="1:7" ht="18.75">
      <c r="A1" s="152"/>
      <c r="B1" s="787">
        <v>4</v>
      </c>
      <c r="C1" s="787"/>
      <c r="D1" s="334"/>
      <c r="E1" s="335"/>
      <c r="F1" s="133" t="s">
        <v>694</v>
      </c>
    </row>
    <row r="2" spans="1:7">
      <c r="A2" s="152"/>
      <c r="B2" s="788" t="s">
        <v>223</v>
      </c>
      <c r="C2" s="788"/>
      <c r="D2" s="152"/>
      <c r="E2" s="336"/>
      <c r="F2" s="336"/>
    </row>
    <row r="3" spans="1:7">
      <c r="A3" s="152"/>
      <c r="B3" s="84" t="s">
        <v>779</v>
      </c>
      <c r="C3" s="152"/>
      <c r="D3" s="152"/>
      <c r="E3" s="336"/>
      <c r="F3"/>
    </row>
    <row r="4" spans="1:7" ht="12.75" customHeight="1" thickBot="1">
      <c r="B4" s="337"/>
      <c r="C4" s="338"/>
      <c r="F4" s="207"/>
    </row>
    <row r="5" spans="1:7" ht="32.25" customHeight="1" thickTop="1">
      <c r="A5" s="776" t="s">
        <v>0</v>
      </c>
      <c r="B5" s="778">
        <v>7.2016</v>
      </c>
      <c r="C5" s="782" t="s">
        <v>42</v>
      </c>
      <c r="D5" s="784" t="s">
        <v>14</v>
      </c>
      <c r="E5" s="341" t="s">
        <v>341</v>
      </c>
      <c r="F5" s="342" t="s">
        <v>771</v>
      </c>
    </row>
    <row r="6" spans="1:7" ht="15.75">
      <c r="A6" s="777"/>
      <c r="B6" s="779"/>
      <c r="C6" s="783"/>
      <c r="D6" s="785"/>
      <c r="E6" s="691">
        <f>($B$5-7.0001)*10000</f>
        <v>2015.0000000000023</v>
      </c>
      <c r="F6" s="667">
        <f>$B$5</f>
        <v>7.2016</v>
      </c>
    </row>
    <row r="7" spans="1:7">
      <c r="A7" s="343">
        <v>1</v>
      </c>
      <c r="B7" s="344">
        <v>2</v>
      </c>
      <c r="C7" s="345">
        <v>3</v>
      </c>
      <c r="D7" s="345">
        <v>4</v>
      </c>
      <c r="E7" s="346">
        <v>5</v>
      </c>
      <c r="F7" s="525">
        <v>6</v>
      </c>
    </row>
    <row r="8" spans="1:7" s="202" customFormat="1" ht="15" customHeight="1">
      <c r="A8" s="378">
        <v>1</v>
      </c>
      <c r="B8" s="347" t="s">
        <v>544</v>
      </c>
      <c r="C8" s="348" t="s">
        <v>226</v>
      </c>
      <c r="D8" s="107" t="s">
        <v>70</v>
      </c>
      <c r="E8" s="349">
        <f>SUM(E9:E10)</f>
        <v>690514</v>
      </c>
      <c r="F8" s="431">
        <f>SUM(F9:F10)</f>
        <v>755450</v>
      </c>
      <c r="G8" s="132"/>
    </row>
    <row r="9" spans="1:7" s="202" customFormat="1" ht="15.75">
      <c r="A9" s="361" t="s">
        <v>262</v>
      </c>
      <c r="B9" s="351" t="s">
        <v>545</v>
      </c>
      <c r="C9" s="348" t="s">
        <v>483</v>
      </c>
      <c r="D9" s="107" t="s">
        <v>70</v>
      </c>
      <c r="E9" s="352">
        <f>SUM(E12,'ТИП-ПРЕНОС'!D12)</f>
        <v>296732</v>
      </c>
      <c r="F9" s="432">
        <f>SUM(F12,'ТИП-ПРЕНОС'!E12)</f>
        <v>356250</v>
      </c>
      <c r="G9" s="132"/>
    </row>
    <row r="10" spans="1:7" s="202" customFormat="1" ht="15.75">
      <c r="A10" s="361" t="s">
        <v>263</v>
      </c>
      <c r="B10" s="351" t="s">
        <v>546</v>
      </c>
      <c r="C10" s="348" t="s">
        <v>484</v>
      </c>
      <c r="D10" s="107" t="s">
        <v>70</v>
      </c>
      <c r="E10" s="352">
        <f>SUM(E13,'ТИП-ПРЕНОС'!D33)</f>
        <v>393782</v>
      </c>
      <c r="F10" s="432">
        <f>SUM(F13,'ТИП-ПРЕНОС'!E33)</f>
        <v>399200</v>
      </c>
      <c r="G10" s="132"/>
    </row>
    <row r="11" spans="1:7" s="202" customFormat="1" ht="15.75">
      <c r="A11" s="378">
        <v>2</v>
      </c>
      <c r="B11" s="353" t="s">
        <v>515</v>
      </c>
      <c r="C11" s="348" t="s">
        <v>406</v>
      </c>
      <c r="D11" s="107" t="s">
        <v>70</v>
      </c>
      <c r="E11" s="354">
        <f>SUM(E12:E13)</f>
        <v>0</v>
      </c>
      <c r="F11" s="433">
        <f>SUM(F12:F13)</f>
        <v>0</v>
      </c>
      <c r="G11" s="132"/>
    </row>
    <row r="12" spans="1:7" s="202" customFormat="1" ht="15.75">
      <c r="A12" s="378" t="s">
        <v>278</v>
      </c>
      <c r="B12" s="351" t="s">
        <v>20</v>
      </c>
      <c r="C12" s="348" t="s">
        <v>485</v>
      </c>
      <c r="D12" s="107" t="s">
        <v>70</v>
      </c>
      <c r="E12" s="90"/>
      <c r="F12" s="434"/>
      <c r="G12" s="132"/>
    </row>
    <row r="13" spans="1:7" s="202" customFormat="1" ht="15.75">
      <c r="A13" s="378" t="s">
        <v>279</v>
      </c>
      <c r="B13" s="351" t="s">
        <v>227</v>
      </c>
      <c r="C13" s="348" t="s">
        <v>486</v>
      </c>
      <c r="D13" s="107" t="s">
        <v>70</v>
      </c>
      <c r="E13" s="90"/>
      <c r="F13" s="434"/>
      <c r="G13" s="132"/>
    </row>
    <row r="14" spans="1:7" s="202" customFormat="1" ht="15.75">
      <c r="A14" s="378">
        <v>3</v>
      </c>
      <c r="B14" s="353" t="s">
        <v>192</v>
      </c>
      <c r="C14" s="348" t="s">
        <v>406</v>
      </c>
      <c r="D14" s="107" t="s">
        <v>70</v>
      </c>
      <c r="E14" s="355">
        <f>SUM(E15:E16)</f>
        <v>119728</v>
      </c>
      <c r="F14" s="435">
        <f>SUM(F15:F16)</f>
        <v>50650</v>
      </c>
      <c r="G14" s="132"/>
    </row>
    <row r="15" spans="1:7" s="202" customFormat="1" ht="15.75">
      <c r="A15" s="378" t="s">
        <v>267</v>
      </c>
      <c r="B15" s="351" t="s">
        <v>20</v>
      </c>
      <c r="C15" s="348" t="s">
        <v>485</v>
      </c>
      <c r="D15" s="107" t="s">
        <v>70</v>
      </c>
      <c r="E15" s="85">
        <v>81728</v>
      </c>
      <c r="F15" s="685">
        <v>39750</v>
      </c>
      <c r="G15" s="690"/>
    </row>
    <row r="16" spans="1:7" s="202" customFormat="1" ht="15.75">
      <c r="A16" s="378" t="s">
        <v>268</v>
      </c>
      <c r="B16" s="351" t="s">
        <v>227</v>
      </c>
      <c r="C16" s="348" t="s">
        <v>486</v>
      </c>
      <c r="D16" s="107" t="s">
        <v>70</v>
      </c>
      <c r="E16" s="85">
        <v>38000</v>
      </c>
      <c r="F16" s="685">
        <v>10900</v>
      </c>
      <c r="G16" s="690"/>
    </row>
    <row r="17" spans="1:7" s="202" customFormat="1" ht="15.75">
      <c r="A17" s="378">
        <v>4</v>
      </c>
      <c r="B17" s="353" t="s">
        <v>192</v>
      </c>
      <c r="C17" s="348" t="s">
        <v>406</v>
      </c>
      <c r="D17" s="107" t="s">
        <v>7</v>
      </c>
      <c r="E17" s="356">
        <f t="shared" ref="E17:F19" si="0">IF(E20=0,0,E14/E20)</f>
        <v>0.14776819764959112</v>
      </c>
      <c r="F17" s="436">
        <f t="shared" si="0"/>
        <v>6.2833395360377131E-2</v>
      </c>
      <c r="G17" s="132"/>
    </row>
    <row r="18" spans="1:7" s="202" customFormat="1" ht="15.75">
      <c r="A18" s="378" t="s">
        <v>257</v>
      </c>
      <c r="B18" s="351" t="s">
        <v>20</v>
      </c>
      <c r="C18" s="348" t="s">
        <v>485</v>
      </c>
      <c r="D18" s="107" t="s">
        <v>7</v>
      </c>
      <c r="E18" s="356">
        <f t="shared" si="0"/>
        <v>0.21594884532050942</v>
      </c>
      <c r="F18" s="436">
        <f t="shared" si="0"/>
        <v>0.10037878787878787</v>
      </c>
      <c r="G18" s="132"/>
    </row>
    <row r="19" spans="1:7" s="202" customFormat="1" ht="15.75">
      <c r="A19" s="378" t="s">
        <v>258</v>
      </c>
      <c r="B19" s="351" t="s">
        <v>227</v>
      </c>
      <c r="C19" s="348" t="s">
        <v>486</v>
      </c>
      <c r="D19" s="107" t="s">
        <v>7</v>
      </c>
      <c r="E19" s="356">
        <f t="shared" si="0"/>
        <v>8.8007374091555457E-2</v>
      </c>
      <c r="F19" s="436">
        <f t="shared" si="0"/>
        <v>2.6578883199219701E-2</v>
      </c>
      <c r="G19" s="132"/>
    </row>
    <row r="20" spans="1:7" ht="15.75">
      <c r="A20" s="361">
        <v>5</v>
      </c>
      <c r="B20" s="353" t="s">
        <v>549</v>
      </c>
      <c r="C20" s="107" t="s">
        <v>225</v>
      </c>
      <c r="D20" s="107" t="s">
        <v>70</v>
      </c>
      <c r="E20" s="349">
        <f>SUM(E21:E22)</f>
        <v>810242</v>
      </c>
      <c r="F20" s="431">
        <f>SUM(F21:F22)</f>
        <v>806100</v>
      </c>
    </row>
    <row r="21" spans="1:7" ht="15.75">
      <c r="A21" s="361" t="s">
        <v>269</v>
      </c>
      <c r="B21" s="351" t="s">
        <v>20</v>
      </c>
      <c r="C21" s="107" t="s">
        <v>352</v>
      </c>
      <c r="D21" s="107" t="s">
        <v>70</v>
      </c>
      <c r="E21" s="357">
        <f>SUM(E9,E15)</f>
        <v>378460</v>
      </c>
      <c r="F21" s="437">
        <f>SUM(F9,F15)</f>
        <v>396000</v>
      </c>
    </row>
    <row r="22" spans="1:7" ht="16.5" thickBot="1">
      <c r="A22" s="361" t="s">
        <v>270</v>
      </c>
      <c r="B22" s="351" t="s">
        <v>227</v>
      </c>
      <c r="C22" s="107" t="s">
        <v>353</v>
      </c>
      <c r="D22" s="107" t="s">
        <v>70</v>
      </c>
      <c r="E22" s="357">
        <f>SUM(E10,E16)</f>
        <v>431782</v>
      </c>
      <c r="F22" s="437">
        <f>SUM(F10,F16)</f>
        <v>410100</v>
      </c>
    </row>
    <row r="23" spans="1:7" ht="13.5" thickTop="1">
      <c r="A23" s="339"/>
      <c r="B23" s="358" t="s">
        <v>474</v>
      </c>
      <c r="C23" s="340" t="s">
        <v>42</v>
      </c>
      <c r="D23" s="340" t="s">
        <v>14</v>
      </c>
      <c r="E23" s="359"/>
      <c r="F23" s="360"/>
    </row>
    <row r="24" spans="1:7" ht="15.75">
      <c r="A24" s="361">
        <v>6</v>
      </c>
      <c r="B24" s="353" t="s">
        <v>479</v>
      </c>
      <c r="C24" s="107" t="s">
        <v>757</v>
      </c>
      <c r="D24" s="111" t="s">
        <v>70</v>
      </c>
      <c r="E24" s="362">
        <f>SUM(E25:E26)</f>
        <v>810584</v>
      </c>
      <c r="F24" s="363">
        <f>SUM(F25:F26)</f>
        <v>806100</v>
      </c>
    </row>
    <row r="25" spans="1:7" ht="15.75">
      <c r="A25" s="361" t="s">
        <v>510</v>
      </c>
      <c r="B25" s="351" t="s">
        <v>20</v>
      </c>
      <c r="C25" s="107" t="s">
        <v>476</v>
      </c>
      <c r="D25" s="111" t="s">
        <v>70</v>
      </c>
      <c r="E25" s="85">
        <v>378802</v>
      </c>
      <c r="F25" s="425">
        <f>SUM(F9,F15)</f>
        <v>396000</v>
      </c>
    </row>
    <row r="26" spans="1:7" ht="15.75">
      <c r="A26" s="361" t="s">
        <v>511</v>
      </c>
      <c r="B26" s="351" t="s">
        <v>227</v>
      </c>
      <c r="C26" s="107" t="s">
        <v>475</v>
      </c>
      <c r="D26" s="111" t="s">
        <v>70</v>
      </c>
      <c r="E26" s="85">
        <v>431782</v>
      </c>
      <c r="F26" s="425">
        <f>SUM(F10,F16)</f>
        <v>410100</v>
      </c>
    </row>
    <row r="27" spans="1:7" ht="15.75">
      <c r="A27" s="361">
        <v>7</v>
      </c>
      <c r="B27" s="364" t="s">
        <v>190</v>
      </c>
      <c r="C27" s="350" t="s">
        <v>15</v>
      </c>
      <c r="D27" s="350" t="s">
        <v>70</v>
      </c>
      <c r="E27" s="678">
        <v>281809</v>
      </c>
      <c r="F27" s="686">
        <v>305900</v>
      </c>
    </row>
    <row r="28" spans="1:7">
      <c r="A28" s="361" t="s">
        <v>516</v>
      </c>
      <c r="B28" s="365" t="s">
        <v>419</v>
      </c>
      <c r="C28" s="350" t="s">
        <v>420</v>
      </c>
      <c r="D28" s="350" t="s">
        <v>70</v>
      </c>
      <c r="E28" s="85">
        <v>195142</v>
      </c>
      <c r="F28" s="685">
        <v>221900</v>
      </c>
    </row>
    <row r="29" spans="1:7">
      <c r="A29" s="361" t="s">
        <v>517</v>
      </c>
      <c r="B29" s="365" t="s">
        <v>355</v>
      </c>
      <c r="C29" s="350" t="s">
        <v>354</v>
      </c>
      <c r="D29" s="350" t="s">
        <v>70</v>
      </c>
      <c r="E29" s="357">
        <f>SUM(E27,-E30)</f>
        <v>281809</v>
      </c>
      <c r="F29" s="437">
        <f>SUM(F27,-F30)</f>
        <v>305900</v>
      </c>
    </row>
    <row r="30" spans="1:7">
      <c r="A30" s="361" t="s">
        <v>518</v>
      </c>
      <c r="B30" s="365" t="s">
        <v>634</v>
      </c>
      <c r="C30" s="350" t="s">
        <v>498</v>
      </c>
      <c r="D30" s="350" t="s">
        <v>70</v>
      </c>
      <c r="E30" s="85"/>
      <c r="F30" s="425"/>
    </row>
    <row r="31" spans="1:7" ht="14.25">
      <c r="A31" s="361">
        <v>8</v>
      </c>
      <c r="B31" s="366" t="s">
        <v>504</v>
      </c>
      <c r="C31" s="350" t="s">
        <v>428</v>
      </c>
      <c r="D31" s="350" t="s">
        <v>383</v>
      </c>
      <c r="E31" s="352">
        <f>E32*860/7000</f>
        <v>165326.35712285715</v>
      </c>
      <c r="F31" s="432">
        <f>F32*860/7000</f>
        <v>197489.60843142855</v>
      </c>
    </row>
    <row r="32" spans="1:7" ht="15.75">
      <c r="A32" s="361">
        <v>9</v>
      </c>
      <c r="B32" s="366" t="s">
        <v>502</v>
      </c>
      <c r="C32" s="350" t="s">
        <v>746</v>
      </c>
      <c r="D32" s="107" t="s">
        <v>70</v>
      </c>
      <c r="E32" s="355">
        <f>ROUND(SUMPRODUCT(E33:E37,E$75:E$79)/860,3)</f>
        <v>1345679.6510000001</v>
      </c>
      <c r="F32" s="435">
        <f>ROUND(SUMPRODUCT(F33:F37,F$75:F$79)/860,3)</f>
        <v>1607473.557</v>
      </c>
      <c r="G32" s="367"/>
    </row>
    <row r="33" spans="1:7" ht="15.75">
      <c r="A33" s="361" t="s">
        <v>519</v>
      </c>
      <c r="B33" s="208" t="s">
        <v>9</v>
      </c>
      <c r="C33" s="107" t="s">
        <v>21</v>
      </c>
      <c r="D33" s="107" t="s">
        <v>381</v>
      </c>
      <c r="E33" s="85">
        <v>3245</v>
      </c>
      <c r="F33" s="685">
        <v>9282.0931606453069</v>
      </c>
      <c r="G33" s="368"/>
    </row>
    <row r="34" spans="1:7">
      <c r="A34" s="361" t="s">
        <v>520</v>
      </c>
      <c r="B34" s="208" t="s">
        <v>10</v>
      </c>
      <c r="C34" s="107" t="s">
        <v>22</v>
      </c>
      <c r="D34" s="107" t="s">
        <v>23</v>
      </c>
      <c r="E34" s="85"/>
      <c r="F34" s="425"/>
    </row>
    <row r="35" spans="1:7">
      <c r="A35" s="361" t="s">
        <v>521</v>
      </c>
      <c r="B35" s="208" t="s">
        <v>12</v>
      </c>
      <c r="C35" s="107" t="s">
        <v>24</v>
      </c>
      <c r="D35" s="107" t="s">
        <v>23</v>
      </c>
      <c r="E35" s="85"/>
      <c r="F35" s="425"/>
      <c r="G35" s="367"/>
    </row>
    <row r="36" spans="1:7">
      <c r="A36" s="361" t="s">
        <v>522</v>
      </c>
      <c r="B36" s="208" t="s">
        <v>11</v>
      </c>
      <c r="C36" s="107" t="s">
        <v>25</v>
      </c>
      <c r="D36" s="107" t="s">
        <v>23</v>
      </c>
      <c r="E36" s="85">
        <v>580000</v>
      </c>
      <c r="F36" s="685">
        <v>687778</v>
      </c>
      <c r="G36" s="367"/>
    </row>
    <row r="37" spans="1:7" ht="15.75">
      <c r="A37" s="361" t="s">
        <v>523</v>
      </c>
      <c r="B37" s="430" t="s">
        <v>378</v>
      </c>
      <c r="C37" s="107" t="s">
        <v>425</v>
      </c>
      <c r="D37" s="107" t="s">
        <v>441</v>
      </c>
      <c r="E37" s="85"/>
      <c r="F37" s="425"/>
      <c r="G37" s="368"/>
    </row>
    <row r="38" spans="1:7" ht="14.25">
      <c r="A38" s="361">
        <v>10</v>
      </c>
      <c r="B38" s="370">
        <f>B93</f>
        <v>0.6</v>
      </c>
      <c r="C38" s="350" t="s">
        <v>514</v>
      </c>
      <c r="D38" s="350" t="s">
        <v>358</v>
      </c>
      <c r="E38" s="357">
        <f>E33*E$80/860*3.6</f>
        <v>44079.174418604656</v>
      </c>
      <c r="F38" s="435">
        <f>F33*F$80/860*3.6*(1-Коефициенти!F22)</f>
        <v>185629.66264459875</v>
      </c>
    </row>
    <row r="39" spans="1:7" ht="14.25">
      <c r="A39" s="361">
        <v>11</v>
      </c>
      <c r="B39" s="371">
        <f>B94</f>
        <v>0.6</v>
      </c>
      <c r="C39" s="350" t="s">
        <v>430</v>
      </c>
      <c r="D39" s="350" t="s">
        <v>358</v>
      </c>
      <c r="E39" s="357">
        <f>E36*E$83/860*3.6*(1-Коефициенти!E22)</f>
        <v>2761367.0642956742</v>
      </c>
      <c r="F39" s="437">
        <f>F36*F$83/860*3.6*(1-Коефициенти!F22)</f>
        <v>3209419.7265397343</v>
      </c>
    </row>
    <row r="40" spans="1:7" ht="15.75">
      <c r="A40" s="361">
        <v>12</v>
      </c>
      <c r="B40" s="366" t="s">
        <v>418</v>
      </c>
      <c r="C40" s="372" t="s">
        <v>481</v>
      </c>
      <c r="D40" s="372" t="s">
        <v>7</v>
      </c>
      <c r="E40" s="373">
        <f>IF(Коефициенти!E18=0,0,IF(Коефициенти!E17=0,0,IF((Коефициенти!E21/Коефициенти!E18+Коефициенти!E20/Коефициенти!E17)=0,0,1-1/(Коефициенти!E21/Коефициенти!E18+Коефициенти!E20/Коефициенти!E17))))</f>
        <v>0.11385204361795942</v>
      </c>
      <c r="F40" s="438">
        <f>IF(Коефициенти!F18=0,0,IF(Коефициенти!F17=0,0,IF((Коефициенти!F21/Коефициенти!F18+Коефициенти!F20/Коефициенти!F17)=0,0,1-1/(Коефициенти!F21/Коефициенти!F18+Коефициенти!F20/Коефициенти!F17))))</f>
        <v>2.8614857231426538E-2</v>
      </c>
    </row>
    <row r="41" spans="1:7" ht="15.75">
      <c r="A41" s="361">
        <v>13</v>
      </c>
      <c r="B41" s="119" t="s">
        <v>482</v>
      </c>
      <c r="C41" s="107" t="s">
        <v>490</v>
      </c>
      <c r="D41" s="107" t="s">
        <v>7</v>
      </c>
      <c r="E41" s="374">
        <f>Коефициенти!E19</f>
        <v>0.72280575787647106</v>
      </c>
      <c r="F41" s="438">
        <f>Коефициенти!F19</f>
        <v>0.66025969471048662</v>
      </c>
    </row>
    <row r="42" spans="1:7" ht="15">
      <c r="A42" s="361">
        <v>14</v>
      </c>
      <c r="B42" s="376" t="s">
        <v>543</v>
      </c>
      <c r="C42" s="107" t="s">
        <v>491</v>
      </c>
      <c r="D42" s="111" t="s">
        <v>35</v>
      </c>
      <c r="E42" s="377">
        <f>ROUND(IF(E27=0,0,E31*Коефициенти!E24*1000/E27),2)</f>
        <v>276.32</v>
      </c>
      <c r="F42" s="440">
        <f>ROUND(IF(F27=0,0,F31*Коефициенти!F24*1000/F27),2)</f>
        <v>302.89999999999998</v>
      </c>
    </row>
    <row r="43" spans="1:7" ht="16.5" thickBot="1">
      <c r="A43" s="459">
        <v>15</v>
      </c>
      <c r="B43" s="468" t="s">
        <v>193</v>
      </c>
      <c r="C43" s="461" t="s">
        <v>492</v>
      </c>
      <c r="D43" s="469" t="s">
        <v>203</v>
      </c>
      <c r="E43" s="470">
        <f>IF(E24=0,0,ROUND(E31*(1-Коефициенти!E24)*1000/E24,2))</f>
        <v>107.89</v>
      </c>
      <c r="F43" s="471">
        <f>IF(F24=0,0,ROUND(F31*(1-Коефициенти!F24)*1000/F24,2))</f>
        <v>130.05000000000001</v>
      </c>
    </row>
    <row r="44" spans="1:7" ht="13.5" thickTop="1">
      <c r="A44" s="464"/>
      <c r="B44" s="465" t="s">
        <v>487</v>
      </c>
      <c r="C44" s="466"/>
      <c r="D44" s="467"/>
      <c r="E44" s="404"/>
      <c r="F44" s="448"/>
    </row>
    <row r="45" spans="1:7" ht="15.75">
      <c r="A45" s="378">
        <v>16</v>
      </c>
      <c r="B45" s="353" t="s">
        <v>488</v>
      </c>
      <c r="C45" s="107" t="s">
        <v>758</v>
      </c>
      <c r="D45" s="379" t="s">
        <v>70</v>
      </c>
      <c r="E45" s="380">
        <f>SUM(E46:E47)</f>
        <v>-342</v>
      </c>
      <c r="F45" s="441">
        <f>SUM(F46:F47)</f>
        <v>0</v>
      </c>
    </row>
    <row r="46" spans="1:7" ht="15.75">
      <c r="A46" s="378" t="s">
        <v>613</v>
      </c>
      <c r="B46" s="351" t="s">
        <v>20</v>
      </c>
      <c r="C46" s="107" t="s">
        <v>476</v>
      </c>
      <c r="D46" s="379" t="s">
        <v>70</v>
      </c>
      <c r="E46" s="357">
        <f>SUM(E21,-E25)</f>
        <v>-342</v>
      </c>
      <c r="F46" s="437">
        <f>SUM(F21,-F25)</f>
        <v>0</v>
      </c>
    </row>
    <row r="47" spans="1:7" ht="15.75">
      <c r="A47" s="378" t="s">
        <v>614</v>
      </c>
      <c r="B47" s="351" t="s">
        <v>227</v>
      </c>
      <c r="C47" s="107" t="s">
        <v>475</v>
      </c>
      <c r="D47" s="379" t="s">
        <v>70</v>
      </c>
      <c r="E47" s="357">
        <f>SUM(E22,-E26)</f>
        <v>0</v>
      </c>
      <c r="F47" s="437">
        <f>SUM(F22,-F26)</f>
        <v>0</v>
      </c>
    </row>
    <row r="48" spans="1:7">
      <c r="A48" s="378">
        <v>17</v>
      </c>
      <c r="B48" s="366" t="s">
        <v>505</v>
      </c>
      <c r="C48" s="350" t="s">
        <v>477</v>
      </c>
      <c r="D48" s="381" t="s">
        <v>478</v>
      </c>
      <c r="E48" s="352">
        <f>E49*860/7000</f>
        <v>0</v>
      </c>
      <c r="F48" s="432">
        <f>F49*860/7000</f>
        <v>0</v>
      </c>
    </row>
    <row r="49" spans="1:7" ht="15.75">
      <c r="A49" s="361">
        <v>18</v>
      </c>
      <c r="B49" s="366" t="s">
        <v>506</v>
      </c>
      <c r="C49" s="350" t="s">
        <v>747</v>
      </c>
      <c r="D49" s="107" t="s">
        <v>70</v>
      </c>
      <c r="E49" s="355">
        <f>ROUND(SUMPRODUCT(E50:E54,E$75:E$79)/860,3)</f>
        <v>0</v>
      </c>
      <c r="F49" s="435">
        <f>ROUND(SUMPRODUCT(F50:F54,F$75:F$79)/860,3)</f>
        <v>0</v>
      </c>
    </row>
    <row r="50" spans="1:7">
      <c r="A50" s="361" t="s">
        <v>524</v>
      </c>
      <c r="B50" s="208" t="s">
        <v>9</v>
      </c>
      <c r="C50" s="107" t="s">
        <v>493</v>
      </c>
      <c r="D50" s="111" t="s">
        <v>480</v>
      </c>
      <c r="E50" s="85"/>
      <c r="F50" s="425"/>
    </row>
    <row r="51" spans="1:7">
      <c r="A51" s="361" t="s">
        <v>525</v>
      </c>
      <c r="B51" s="208" t="s">
        <v>10</v>
      </c>
      <c r="C51" s="107" t="s">
        <v>494</v>
      </c>
      <c r="D51" s="111" t="s">
        <v>23</v>
      </c>
      <c r="E51" s="85"/>
      <c r="F51" s="425"/>
    </row>
    <row r="52" spans="1:7">
      <c r="A52" s="361" t="s">
        <v>615</v>
      </c>
      <c r="B52" s="208" t="s">
        <v>12</v>
      </c>
      <c r="C52" s="107" t="s">
        <v>496</v>
      </c>
      <c r="D52" s="111" t="s">
        <v>23</v>
      </c>
      <c r="E52" s="85"/>
      <c r="F52" s="425"/>
    </row>
    <row r="53" spans="1:7">
      <c r="A53" s="361" t="s">
        <v>616</v>
      </c>
      <c r="B53" s="208" t="s">
        <v>11</v>
      </c>
      <c r="C53" s="107" t="s">
        <v>25</v>
      </c>
      <c r="D53" s="111" t="s">
        <v>23</v>
      </c>
      <c r="E53" s="85"/>
      <c r="F53" s="425"/>
    </row>
    <row r="54" spans="1:7" ht="15.75">
      <c r="A54" s="361" t="s">
        <v>617</v>
      </c>
      <c r="B54" s="369" t="s">
        <v>378</v>
      </c>
      <c r="C54" s="107" t="s">
        <v>495</v>
      </c>
      <c r="D54" s="107" t="s">
        <v>441</v>
      </c>
      <c r="E54" s="85"/>
      <c r="F54" s="425"/>
    </row>
    <row r="55" spans="1:7" ht="14.25">
      <c r="A55" s="361">
        <v>19</v>
      </c>
      <c r="B55" s="382">
        <f>B93</f>
        <v>0.6</v>
      </c>
      <c r="C55" s="350" t="s">
        <v>429</v>
      </c>
      <c r="D55" s="350" t="s">
        <v>358</v>
      </c>
      <c r="E55" s="357">
        <f>E50*E$80/860*3.6</f>
        <v>0</v>
      </c>
      <c r="F55" s="437">
        <f>F50*F$80/860*3.6</f>
        <v>0</v>
      </c>
    </row>
    <row r="56" spans="1:7" ht="14.25">
      <c r="A56" s="361">
        <v>20</v>
      </c>
      <c r="B56" s="383">
        <f>B94</f>
        <v>0.6</v>
      </c>
      <c r="C56" s="350" t="s">
        <v>430</v>
      </c>
      <c r="D56" s="350" t="s">
        <v>358</v>
      </c>
      <c r="E56" s="357">
        <f>E53*E$83/860*3.6</f>
        <v>0</v>
      </c>
      <c r="F56" s="437">
        <f>F53*F$83/860*3.6</f>
        <v>0</v>
      </c>
    </row>
    <row r="57" spans="1:7" ht="15.75">
      <c r="A57" s="361">
        <v>21</v>
      </c>
      <c r="B57" s="119" t="s">
        <v>489</v>
      </c>
      <c r="C57" s="107" t="s">
        <v>507</v>
      </c>
      <c r="D57" s="111" t="s">
        <v>7</v>
      </c>
      <c r="E57" s="384">
        <f>IF(E49=0,0,E45/E49)</f>
        <v>0</v>
      </c>
      <c r="F57" s="442">
        <f>IF(F49=0,0,F45/F49)</f>
        <v>0</v>
      </c>
    </row>
    <row r="58" spans="1:7" ht="16.5" thickBot="1">
      <c r="A58" s="459">
        <v>22</v>
      </c>
      <c r="B58" s="473" t="s">
        <v>503</v>
      </c>
      <c r="C58" s="461" t="s">
        <v>508</v>
      </c>
      <c r="D58" s="469" t="s">
        <v>203</v>
      </c>
      <c r="E58" s="470">
        <f>ROUND(IF(E45=0,0,E48*1000/E45),2)</f>
        <v>0</v>
      </c>
      <c r="F58" s="471">
        <f>ROUND(IF(F45=0,0,F48*1000/F45),2)</f>
        <v>0</v>
      </c>
    </row>
    <row r="59" spans="1:7" s="202" customFormat="1" ht="16.5" thickTop="1">
      <c r="A59" s="464"/>
      <c r="B59" s="472" t="s">
        <v>497</v>
      </c>
      <c r="C59" s="466"/>
      <c r="D59" s="467"/>
      <c r="E59" s="404"/>
      <c r="F59" s="448"/>
    </row>
    <row r="60" spans="1:7" s="202" customFormat="1">
      <c r="A60" s="361">
        <v>23</v>
      </c>
      <c r="B60" s="127" t="s">
        <v>401</v>
      </c>
      <c r="C60" s="107" t="s">
        <v>16</v>
      </c>
      <c r="D60" s="350" t="s">
        <v>70</v>
      </c>
      <c r="E60" s="665">
        <f>SUM(E27,-E64)</f>
        <v>81759</v>
      </c>
      <c r="F60" s="666">
        <f>SUM(F27,-F64)</f>
        <v>84000</v>
      </c>
      <c r="G60" s="132"/>
    </row>
    <row r="61" spans="1:7" s="202" customFormat="1">
      <c r="A61" s="361" t="s">
        <v>632</v>
      </c>
      <c r="B61" s="385" t="s">
        <v>400</v>
      </c>
      <c r="C61" s="107" t="s">
        <v>17</v>
      </c>
      <c r="D61" s="350" t="s">
        <v>70</v>
      </c>
      <c r="E61" s="357">
        <f>SUM(E60,-E62)</f>
        <v>81759</v>
      </c>
      <c r="F61" s="437">
        <f>SUM(F60,-F62)</f>
        <v>84000</v>
      </c>
      <c r="G61" s="132"/>
    </row>
    <row r="62" spans="1:7" s="202" customFormat="1">
      <c r="A62" s="361" t="s">
        <v>631</v>
      </c>
      <c r="B62" s="385" t="s">
        <v>155</v>
      </c>
      <c r="C62" s="107" t="s">
        <v>18</v>
      </c>
      <c r="D62" s="350" t="s">
        <v>70</v>
      </c>
      <c r="E62" s="85"/>
      <c r="F62" s="85"/>
      <c r="G62" s="132"/>
    </row>
    <row r="63" spans="1:7" s="202" customFormat="1">
      <c r="A63" s="361" t="s">
        <v>633</v>
      </c>
      <c r="B63" s="386" t="s">
        <v>191</v>
      </c>
      <c r="C63" s="107" t="s">
        <v>16</v>
      </c>
      <c r="D63" s="107" t="s">
        <v>7</v>
      </c>
      <c r="E63" s="375">
        <f>IF(E27=0,0,E60/E27)</f>
        <v>0.29012203300817219</v>
      </c>
      <c r="F63" s="439">
        <f>IF(F27=0,0,F60/F27)</f>
        <v>0.27459954233409611</v>
      </c>
      <c r="G63" s="132"/>
    </row>
    <row r="64" spans="1:7" ht="15.75">
      <c r="A64" s="361">
        <v>24</v>
      </c>
      <c r="B64" s="387" t="s">
        <v>550</v>
      </c>
      <c r="C64" s="107" t="s">
        <v>19</v>
      </c>
      <c r="D64" s="350" t="s">
        <v>70</v>
      </c>
      <c r="E64" s="388">
        <f>SUM(E65:E67)</f>
        <v>200050</v>
      </c>
      <c r="F64" s="443">
        <f>SUM(F65:F67)</f>
        <v>221900</v>
      </c>
    </row>
    <row r="65" spans="1:7" ht="15.75">
      <c r="A65" s="361" t="s">
        <v>618</v>
      </c>
      <c r="B65" s="389" t="s">
        <v>499</v>
      </c>
      <c r="C65" s="107"/>
      <c r="D65" s="350" t="s">
        <v>70</v>
      </c>
      <c r="E65" s="85">
        <v>191059</v>
      </c>
      <c r="F65" s="685">
        <v>212900</v>
      </c>
    </row>
    <row r="66" spans="1:7" ht="15.75">
      <c r="A66" s="361" t="s">
        <v>619</v>
      </c>
      <c r="B66" s="389" t="s">
        <v>500</v>
      </c>
      <c r="C66" s="107"/>
      <c r="D66" s="350" t="s">
        <v>70</v>
      </c>
      <c r="E66" s="85">
        <v>8991</v>
      </c>
      <c r="F66" s="685">
        <v>9000</v>
      </c>
    </row>
    <row r="67" spans="1:7" s="337" customFormat="1" ht="15.75">
      <c r="A67" s="361" t="s">
        <v>620</v>
      </c>
      <c r="B67" s="390" t="s">
        <v>551</v>
      </c>
      <c r="C67" s="107"/>
      <c r="D67" s="350" t="s">
        <v>70</v>
      </c>
      <c r="E67" s="85"/>
      <c r="F67" s="425"/>
      <c r="G67" s="132"/>
    </row>
    <row r="68" spans="1:7" ht="15.75">
      <c r="A68" s="361">
        <v>25</v>
      </c>
      <c r="B68" s="391" t="s">
        <v>501</v>
      </c>
      <c r="C68" s="350" t="s">
        <v>428</v>
      </c>
      <c r="D68" s="350" t="s">
        <v>383</v>
      </c>
      <c r="E68" s="352">
        <f>E69*860/7000</f>
        <v>165326.35714285713</v>
      </c>
      <c r="F68" s="432">
        <f>F69*860/7000</f>
        <v>197489.60843142855</v>
      </c>
    </row>
    <row r="69" spans="1:7" ht="15.75">
      <c r="A69" s="361">
        <v>26</v>
      </c>
      <c r="B69" s="366" t="s">
        <v>509</v>
      </c>
      <c r="C69" s="350" t="s">
        <v>427</v>
      </c>
      <c r="D69" s="107" t="s">
        <v>70</v>
      </c>
      <c r="E69" s="352">
        <f>SUMPRODUCT(E70:E74,E75:E79)/860</f>
        <v>1345679.6511627906</v>
      </c>
      <c r="F69" s="432">
        <f>ROUND(SUMPRODUCT(F70:F74,F$75:F$79)/860,3)</f>
        <v>1607473.557</v>
      </c>
    </row>
    <row r="70" spans="1:7" ht="15.75">
      <c r="A70" s="361" t="s">
        <v>621</v>
      </c>
      <c r="B70" s="392" t="s">
        <v>9</v>
      </c>
      <c r="C70" s="107" t="s">
        <v>21</v>
      </c>
      <c r="D70" s="107" t="s">
        <v>381</v>
      </c>
      <c r="E70" s="352">
        <f t="shared" ref="E70:F74" si="1">SUM(E33,E50)</f>
        <v>3245</v>
      </c>
      <c r="F70" s="432">
        <f t="shared" si="1"/>
        <v>9282.0931606453069</v>
      </c>
    </row>
    <row r="71" spans="1:7" ht="15">
      <c r="A71" s="361" t="s">
        <v>622</v>
      </c>
      <c r="B71" s="392" t="s">
        <v>10</v>
      </c>
      <c r="C71" s="107" t="s">
        <v>22</v>
      </c>
      <c r="D71" s="107" t="s">
        <v>23</v>
      </c>
      <c r="E71" s="352">
        <f t="shared" si="1"/>
        <v>0</v>
      </c>
      <c r="F71" s="432">
        <f t="shared" si="1"/>
        <v>0</v>
      </c>
    </row>
    <row r="72" spans="1:7" ht="15">
      <c r="A72" s="361" t="s">
        <v>623</v>
      </c>
      <c r="B72" s="392" t="s">
        <v>12</v>
      </c>
      <c r="C72" s="107" t="s">
        <v>24</v>
      </c>
      <c r="D72" s="107" t="s">
        <v>23</v>
      </c>
      <c r="E72" s="352">
        <f t="shared" si="1"/>
        <v>0</v>
      </c>
      <c r="F72" s="432">
        <f t="shared" si="1"/>
        <v>0</v>
      </c>
    </row>
    <row r="73" spans="1:7" ht="15">
      <c r="A73" s="361" t="s">
        <v>624</v>
      </c>
      <c r="B73" s="392" t="s">
        <v>11</v>
      </c>
      <c r="C73" s="107" t="s">
        <v>25</v>
      </c>
      <c r="D73" s="107" t="s">
        <v>23</v>
      </c>
      <c r="E73" s="352">
        <f t="shared" si="1"/>
        <v>580000</v>
      </c>
      <c r="F73" s="432">
        <f t="shared" si="1"/>
        <v>687778</v>
      </c>
    </row>
    <row r="74" spans="1:7" ht="15.75">
      <c r="A74" s="361" t="s">
        <v>625</v>
      </c>
      <c r="B74" s="427" t="s">
        <v>378</v>
      </c>
      <c r="C74" s="107" t="s">
        <v>425</v>
      </c>
      <c r="D74" s="107" t="s">
        <v>441</v>
      </c>
      <c r="E74" s="393">
        <f t="shared" si="1"/>
        <v>0</v>
      </c>
      <c r="F74" s="444">
        <f t="shared" si="1"/>
        <v>0</v>
      </c>
    </row>
    <row r="75" spans="1:7" ht="15.75">
      <c r="A75" s="361" t="s">
        <v>626</v>
      </c>
      <c r="B75" s="394" t="s">
        <v>436</v>
      </c>
      <c r="C75" s="107" t="s">
        <v>759</v>
      </c>
      <c r="D75" s="107" t="s">
        <v>382</v>
      </c>
      <c r="E75" s="85">
        <v>8100</v>
      </c>
      <c r="F75" s="685">
        <v>8150</v>
      </c>
    </row>
    <row r="76" spans="1:7" ht="15.75">
      <c r="A76" s="361" t="s">
        <v>627</v>
      </c>
      <c r="B76" s="395" t="s">
        <v>10</v>
      </c>
      <c r="C76" s="107" t="s">
        <v>760</v>
      </c>
      <c r="D76" s="107" t="s">
        <v>28</v>
      </c>
      <c r="E76" s="85"/>
      <c r="F76" s="425"/>
    </row>
    <row r="77" spans="1:7" ht="15.75">
      <c r="A77" s="361" t="s">
        <v>628</v>
      </c>
      <c r="B77" s="395" t="s">
        <v>12</v>
      </c>
      <c r="C77" s="107" t="s">
        <v>761</v>
      </c>
      <c r="D77" s="107" t="s">
        <v>28</v>
      </c>
      <c r="E77" s="85"/>
      <c r="F77" s="425"/>
    </row>
    <row r="78" spans="1:7" ht="15.75">
      <c r="A78" s="361" t="s">
        <v>629</v>
      </c>
      <c r="B78" s="395" t="s">
        <v>11</v>
      </c>
      <c r="C78" s="107" t="s">
        <v>762</v>
      </c>
      <c r="D78" s="107" t="s">
        <v>28</v>
      </c>
      <c r="E78" s="85">
        <v>1950</v>
      </c>
      <c r="F78" s="685">
        <v>1900</v>
      </c>
    </row>
    <row r="79" spans="1:7" ht="15.75">
      <c r="A79" s="361" t="s">
        <v>630</v>
      </c>
      <c r="B79" s="427" t="s">
        <v>378</v>
      </c>
      <c r="C79" s="107" t="s">
        <v>763</v>
      </c>
      <c r="D79" s="396" t="s">
        <v>443</v>
      </c>
      <c r="E79" s="85"/>
      <c r="F79" s="425"/>
    </row>
    <row r="80" spans="1:7" ht="15.75">
      <c r="A80" s="361" t="s">
        <v>635</v>
      </c>
      <c r="B80" s="394" t="s">
        <v>435</v>
      </c>
      <c r="C80" s="107" t="s">
        <v>26</v>
      </c>
      <c r="D80" s="107" t="s">
        <v>382</v>
      </c>
      <c r="E80" s="85">
        <v>3245</v>
      </c>
      <c r="F80" s="425">
        <v>9000</v>
      </c>
    </row>
    <row r="81" spans="1:7" ht="15.75">
      <c r="A81" s="361" t="s">
        <v>636</v>
      </c>
      <c r="B81" s="395" t="s">
        <v>10</v>
      </c>
      <c r="C81" s="107" t="s">
        <v>27</v>
      </c>
      <c r="D81" s="107" t="s">
        <v>28</v>
      </c>
      <c r="E81" s="85"/>
      <c r="F81" s="425"/>
    </row>
    <row r="82" spans="1:7" ht="15.75">
      <c r="A82" s="361" t="s">
        <v>637</v>
      </c>
      <c r="B82" s="395" t="s">
        <v>12</v>
      </c>
      <c r="C82" s="107" t="s">
        <v>29</v>
      </c>
      <c r="D82" s="107" t="s">
        <v>28</v>
      </c>
      <c r="E82" s="85"/>
      <c r="F82" s="425"/>
    </row>
    <row r="83" spans="1:7" ht="15.75">
      <c r="A83" s="361" t="s">
        <v>638</v>
      </c>
      <c r="B83" s="397" t="s">
        <v>11</v>
      </c>
      <c r="C83" s="107" t="s">
        <v>30</v>
      </c>
      <c r="D83" s="107" t="s">
        <v>28</v>
      </c>
      <c r="E83" s="85">
        <v>2150</v>
      </c>
      <c r="F83" s="425">
        <v>2100</v>
      </c>
    </row>
    <row r="84" spans="1:7" ht="15.75">
      <c r="A84" s="361" t="s">
        <v>639</v>
      </c>
      <c r="B84" s="395" t="str">
        <f>$B$79</f>
        <v>друг вид гориво (ВЕИ)</v>
      </c>
      <c r="C84" s="107" t="s">
        <v>379</v>
      </c>
      <c r="D84" s="107" t="s">
        <v>426</v>
      </c>
      <c r="E84" s="85"/>
      <c r="F84" s="425"/>
    </row>
    <row r="85" spans="1:7" ht="15.75">
      <c r="A85" s="361">
        <v>29</v>
      </c>
      <c r="B85" s="398" t="s">
        <v>433</v>
      </c>
      <c r="C85" s="396" t="s">
        <v>357</v>
      </c>
      <c r="D85" s="107" t="s">
        <v>384</v>
      </c>
      <c r="E85" s="393">
        <f>IF(E69=0,0,SUMPRODUCT(E70:E74,E86:E90)/E69)</f>
        <v>21.450901910463678</v>
      </c>
      <c r="F85" s="444">
        <f>IF(F69=0,0,SUMPRODUCT(F70:F74,F86:F90)/F69)</f>
        <v>23.645124460502281</v>
      </c>
    </row>
    <row r="86" spans="1:7" ht="15.75">
      <c r="A86" s="361" t="s">
        <v>640</v>
      </c>
      <c r="B86" s="395" t="s">
        <v>356</v>
      </c>
      <c r="C86" s="396" t="s">
        <v>31</v>
      </c>
      <c r="D86" s="107" t="s">
        <v>385</v>
      </c>
      <c r="E86" s="445">
        <v>405.56</v>
      </c>
      <c r="F86" s="445">
        <v>405.56</v>
      </c>
    </row>
    <row r="87" spans="1:7" ht="15.75">
      <c r="A87" s="361" t="s">
        <v>641</v>
      </c>
      <c r="B87" s="395" t="s">
        <v>10</v>
      </c>
      <c r="C87" s="396" t="s">
        <v>32</v>
      </c>
      <c r="D87" s="107" t="s">
        <v>386</v>
      </c>
      <c r="E87" s="426"/>
      <c r="F87" s="445"/>
    </row>
    <row r="88" spans="1:7" ht="15.75">
      <c r="A88" s="361" t="s">
        <v>642</v>
      </c>
      <c r="B88" s="395" t="s">
        <v>12</v>
      </c>
      <c r="C88" s="396" t="s">
        <v>33</v>
      </c>
      <c r="D88" s="107" t="s">
        <v>386</v>
      </c>
      <c r="E88" s="426"/>
      <c r="F88" s="445"/>
    </row>
    <row r="89" spans="1:7" ht="15.75">
      <c r="A89" s="361" t="s">
        <v>643</v>
      </c>
      <c r="B89" s="395" t="s">
        <v>11</v>
      </c>
      <c r="C89" s="396" t="s">
        <v>34</v>
      </c>
      <c r="D89" s="107" t="s">
        <v>386</v>
      </c>
      <c r="E89" s="426">
        <v>47.5</v>
      </c>
      <c r="F89" s="445">
        <v>49.79</v>
      </c>
      <c r="G89" s="692"/>
    </row>
    <row r="90" spans="1:7" ht="15.75">
      <c r="A90" s="361" t="s">
        <v>644</v>
      </c>
      <c r="B90" s="395" t="str">
        <f>$B$79</f>
        <v>друг вид гориво (ВЕИ)</v>
      </c>
      <c r="C90" s="396" t="s">
        <v>380</v>
      </c>
      <c r="D90" s="396" t="s">
        <v>442</v>
      </c>
      <c r="E90" s="426"/>
      <c r="F90" s="445"/>
    </row>
    <row r="91" spans="1:7" ht="15.75">
      <c r="A91" s="361">
        <v>30</v>
      </c>
      <c r="B91" s="394" t="s">
        <v>548</v>
      </c>
      <c r="C91" s="107" t="s">
        <v>324</v>
      </c>
      <c r="D91" s="107" t="s">
        <v>35</v>
      </c>
      <c r="E91" s="399">
        <f>IF(E64=0,0,E27*E42/E64)</f>
        <v>389.2500018995251</v>
      </c>
      <c r="F91" s="446">
        <f>IF(F64=0,0,F27*F42/F64)</f>
        <v>417.56246056782334</v>
      </c>
    </row>
    <row r="92" spans="1:7" ht="15.75">
      <c r="A92" s="361">
        <v>31</v>
      </c>
      <c r="B92" s="400" t="s">
        <v>193</v>
      </c>
      <c r="C92" s="107" t="s">
        <v>325</v>
      </c>
      <c r="D92" s="107" t="s">
        <v>203</v>
      </c>
      <c r="E92" s="401">
        <f>IF(E8=0,0,SUM(E68,-E27*E42/1000)/E8*1000)</f>
        <v>126.65477349171361</v>
      </c>
      <c r="F92" s="447">
        <f>IF(F8=0,0,SUM(F68,-F27*F42/1000)/F8*1000)</f>
        <v>138.7682817280145</v>
      </c>
    </row>
    <row r="93" spans="1:7" ht="14.25">
      <c r="A93" s="361">
        <v>32</v>
      </c>
      <c r="B93" s="428">
        <v>0.6</v>
      </c>
      <c r="C93" s="350" t="s">
        <v>429</v>
      </c>
      <c r="D93" s="350" t="s">
        <v>358</v>
      </c>
      <c r="E93" s="357">
        <f>SUM(E38,E55)</f>
        <v>44079.174418604656</v>
      </c>
      <c r="F93" s="437">
        <f>SUM(F38,F55)</f>
        <v>185629.66264459875</v>
      </c>
    </row>
    <row r="94" spans="1:7" ht="14.25">
      <c r="A94" s="361">
        <v>33</v>
      </c>
      <c r="B94" s="429">
        <v>0.6</v>
      </c>
      <c r="C94" s="350" t="s">
        <v>430</v>
      </c>
      <c r="D94" s="350" t="s">
        <v>358</v>
      </c>
      <c r="E94" s="120">
        <f>SUM(E39,E56)</f>
        <v>2761367.0642956742</v>
      </c>
      <c r="F94" s="437">
        <f>IF(F$49=0,0,SUM(F53*F83,F36*F83*(F51*F76/(F$49)))*0.86/3600000)</f>
        <v>0</v>
      </c>
    </row>
    <row r="95" spans="1:7" ht="18.75">
      <c r="A95" s="361">
        <v>34</v>
      </c>
      <c r="B95" s="394" t="s">
        <v>735</v>
      </c>
      <c r="C95" s="107"/>
      <c r="D95" s="107" t="s">
        <v>23</v>
      </c>
      <c r="E95" s="87"/>
      <c r="F95" s="679">
        <v>535000</v>
      </c>
    </row>
    <row r="96" spans="1:7" ht="18.75">
      <c r="A96" s="361" t="s">
        <v>645</v>
      </c>
      <c r="B96" s="394" t="s">
        <v>736</v>
      </c>
      <c r="C96" s="107"/>
      <c r="D96" s="107" t="s">
        <v>23</v>
      </c>
      <c r="E96" s="393">
        <v>515800</v>
      </c>
      <c r="F96" s="444">
        <f>SUM(F95,-F97)</f>
        <v>296283</v>
      </c>
    </row>
    <row r="97" spans="1:7" ht="18.75">
      <c r="A97" s="361" t="s">
        <v>646</v>
      </c>
      <c r="B97" s="394" t="s">
        <v>737</v>
      </c>
      <c r="C97" s="107"/>
      <c r="D97" s="107" t="s">
        <v>23</v>
      </c>
      <c r="E97" s="87">
        <v>230098</v>
      </c>
      <c r="F97" s="679">
        <v>238717</v>
      </c>
    </row>
    <row r="98" spans="1:7" ht="15.75">
      <c r="A98" s="361" t="s">
        <v>647</v>
      </c>
      <c r="B98" s="394" t="s">
        <v>432</v>
      </c>
      <c r="C98" s="107"/>
      <c r="D98" s="107" t="s">
        <v>23</v>
      </c>
      <c r="E98" s="87">
        <v>313000</v>
      </c>
      <c r="F98" s="679">
        <v>374000</v>
      </c>
    </row>
    <row r="99" spans="1:7" ht="15.75">
      <c r="A99" s="361" t="s">
        <v>648</v>
      </c>
      <c r="B99" s="394" t="s">
        <v>512</v>
      </c>
      <c r="C99" s="107"/>
      <c r="D99" s="107" t="s">
        <v>23</v>
      </c>
      <c r="E99" s="87"/>
      <c r="F99" s="679"/>
    </row>
    <row r="100" spans="1:7" ht="15.75">
      <c r="A100" s="361">
        <v>35</v>
      </c>
      <c r="B100" s="394" t="s">
        <v>513</v>
      </c>
      <c r="C100" s="107" t="s">
        <v>431</v>
      </c>
      <c r="D100" s="107" t="s">
        <v>386</v>
      </c>
      <c r="E100" s="87">
        <v>15.22</v>
      </c>
      <c r="F100" s="87">
        <v>15.22</v>
      </c>
    </row>
    <row r="101" spans="1:7" ht="15.75">
      <c r="A101" s="361">
        <v>36</v>
      </c>
      <c r="B101" s="394" t="s">
        <v>772</v>
      </c>
      <c r="C101" s="107" t="s">
        <v>431</v>
      </c>
      <c r="D101" s="107" t="s">
        <v>386</v>
      </c>
      <c r="E101" s="87"/>
      <c r="F101" s="679"/>
    </row>
    <row r="102" spans="1:7" ht="15.75">
      <c r="A102" s="402">
        <v>37</v>
      </c>
      <c r="B102" s="575" t="s">
        <v>97</v>
      </c>
      <c r="C102" s="403" t="s">
        <v>230</v>
      </c>
      <c r="D102" s="403" t="s">
        <v>164</v>
      </c>
      <c r="E102" s="404">
        <f>SUM(E103:E104)</f>
        <v>115</v>
      </c>
      <c r="F102" s="448">
        <f>SUM(F103:F104)</f>
        <v>125</v>
      </c>
    </row>
    <row r="103" spans="1:7" ht="15.75">
      <c r="A103" s="361" t="s">
        <v>649</v>
      </c>
      <c r="B103" s="395" t="s">
        <v>20</v>
      </c>
      <c r="C103" s="107" t="s">
        <v>231</v>
      </c>
      <c r="D103" s="107" t="s">
        <v>164</v>
      </c>
      <c r="E103" s="85">
        <v>10</v>
      </c>
      <c r="F103" s="425">
        <v>10</v>
      </c>
      <c r="G103" s="692"/>
    </row>
    <row r="104" spans="1:7" ht="15.75">
      <c r="A104" s="361" t="s">
        <v>650</v>
      </c>
      <c r="B104" s="395" t="s">
        <v>227</v>
      </c>
      <c r="C104" s="107" t="s">
        <v>232</v>
      </c>
      <c r="D104" s="107" t="s">
        <v>164</v>
      </c>
      <c r="E104" s="85">
        <v>105</v>
      </c>
      <c r="F104" s="425">
        <v>115</v>
      </c>
      <c r="G104" s="692"/>
    </row>
    <row r="105" spans="1:7" ht="15.75">
      <c r="A105" s="361">
        <v>38</v>
      </c>
      <c r="B105" s="576" t="s">
        <v>752</v>
      </c>
      <c r="C105" s="107" t="s">
        <v>234</v>
      </c>
      <c r="D105" s="405" t="s">
        <v>344</v>
      </c>
      <c r="E105" s="406">
        <f>SUM(E106:E107)</f>
        <v>27047.957999999999</v>
      </c>
      <c r="F105" s="449">
        <f>SUM(F106:F107)</f>
        <v>32920.775000000001</v>
      </c>
    </row>
    <row r="106" spans="1:7" ht="15.75">
      <c r="A106" s="361" t="s">
        <v>651</v>
      </c>
      <c r="B106" s="577" t="s">
        <v>253</v>
      </c>
      <c r="C106" s="107"/>
      <c r="D106" s="405" t="s">
        <v>344</v>
      </c>
      <c r="E106" s="406">
        <f>ROUND(IF(E$27=0,0,РБА!D$69*НВ!$F$21),3)</f>
        <v>1365.0630000000001</v>
      </c>
      <c r="F106" s="449">
        <f>ROUND(IF(F$27=0,0,РБА!G69*НВ!G21),3)</f>
        <v>1607.846</v>
      </c>
    </row>
    <row r="107" spans="1:7" ht="15.75">
      <c r="A107" s="361" t="s">
        <v>652</v>
      </c>
      <c r="B107" s="577" t="s">
        <v>252</v>
      </c>
      <c r="C107" s="173"/>
      <c r="D107" s="405" t="s">
        <v>344</v>
      </c>
      <c r="E107" s="406">
        <f>SUM(E108:E109)</f>
        <v>25682.895</v>
      </c>
      <c r="F107" s="449">
        <f>SUM(F108:F109)</f>
        <v>31312.929</v>
      </c>
    </row>
    <row r="108" spans="1:7" ht="15.75">
      <c r="A108" s="361" t="s">
        <v>653</v>
      </c>
      <c r="B108" s="577" t="s">
        <v>251</v>
      </c>
      <c r="C108" s="173"/>
      <c r="D108" s="405" t="s">
        <v>344</v>
      </c>
      <c r="E108" s="406">
        <f>ROUND(IF(E$27=0,0,SUM(Разходи!D$14,Разходи!D$19,SUM(Разходи!D11,-SUM(Разходи!D14:D15,Разходи!D19:D20))*Коефициенти!E27)),3)</f>
        <v>5813.7550000000001</v>
      </c>
      <c r="F108" s="449">
        <f>ROUND(IF(F$27=0,0,SUM(Разходи!G$14,Разходи!G$19,SUM(Разходи!G11,-SUM(Разходи!G14:G15,Разходи!G19:G20))*Коефициенти!F27)),3)</f>
        <v>6180.6019999999999</v>
      </c>
    </row>
    <row r="109" spans="1:7" ht="15.75">
      <c r="A109" s="361" t="s">
        <v>654</v>
      </c>
      <c r="B109" s="577" t="s">
        <v>250</v>
      </c>
      <c r="C109" s="173"/>
      <c r="D109" s="405" t="s">
        <v>344</v>
      </c>
      <c r="E109" s="406">
        <f>ROUND(IF(E$27=0,0,SUM(Разходи!D$85,SUM(Разходи!D$63,Разходи!D80)*Коефициенти!E22,SUM(Разходи!D75:D78)*Коефициенти!E24)*(1-E$62/E$27)),3)</f>
        <v>19869.14</v>
      </c>
      <c r="F109" s="449">
        <f>ROUND(IF(F$27=0,0,SUM(Разходи!G$85,SUM(Разходи!G$63)*Коефициенти!F22,SUM(Разходи!G75:G78)*Коефициенти!F24)*(1-F$62/F$27)),3)</f>
        <v>25132.327000000001</v>
      </c>
    </row>
    <row r="110" spans="1:7" ht="15.75">
      <c r="A110" s="361">
        <v>39</v>
      </c>
      <c r="B110" s="407" t="s">
        <v>229</v>
      </c>
      <c r="C110" s="107" t="s">
        <v>233</v>
      </c>
      <c r="D110" s="107" t="s">
        <v>384</v>
      </c>
      <c r="E110" s="408">
        <f>IF(E$64=0,0,ROUND(E105/E$64*1000,2))</f>
        <v>135.21</v>
      </c>
      <c r="F110" s="450">
        <f>IF(F$64=0,0,ROUND(F105/F$64*1000,2))</f>
        <v>148.36000000000001</v>
      </c>
    </row>
    <row r="111" spans="1:7" ht="15.75">
      <c r="A111" s="361">
        <v>40</v>
      </c>
      <c r="B111" s="409" t="s">
        <v>434</v>
      </c>
      <c r="C111" s="107" t="s">
        <v>233</v>
      </c>
      <c r="D111" s="107" t="s">
        <v>384</v>
      </c>
      <c r="E111" s="410">
        <f>ROUND(IF(SUM(E$20,-E$14)=0,0,E112*1000/SUM(E$20,-E$14)),2)</f>
        <v>37.74</v>
      </c>
      <c r="F111" s="451">
        <f>ROUND(IF(SUM(F$20,-F$14)=0,0,F112*1000/SUM(F$20,-F$14)),2)</f>
        <v>41.84</v>
      </c>
    </row>
    <row r="112" spans="1:7" ht="15.75">
      <c r="A112" s="361" t="s">
        <v>655</v>
      </c>
      <c r="B112" s="578" t="s">
        <v>158</v>
      </c>
      <c r="C112" s="107" t="s">
        <v>239</v>
      </c>
      <c r="D112" s="405" t="s">
        <v>344</v>
      </c>
      <c r="E112" s="411">
        <f>SUM(Разходи!D8,-E$105)</f>
        <v>26057.503438577405</v>
      </c>
      <c r="F112" s="452">
        <f>SUM(Разходи!G8,-F$105)</f>
        <v>31611.021335923833</v>
      </c>
    </row>
    <row r="113" spans="1:7" ht="15.75">
      <c r="A113" s="361" t="s">
        <v>656</v>
      </c>
      <c r="B113" s="578" t="s">
        <v>753</v>
      </c>
      <c r="C113" s="107"/>
      <c r="D113" s="405" t="s">
        <v>344</v>
      </c>
      <c r="E113" s="412">
        <f>SUM(Разходи!D$9,-E$106)</f>
        <v>598.22819999999979</v>
      </c>
      <c r="F113" s="453">
        <f>SUM(Разходи!G$9,-F$106)</f>
        <v>598.22749999999996</v>
      </c>
    </row>
    <row r="114" spans="1:7" ht="14.25">
      <c r="A114" s="361" t="s">
        <v>657</v>
      </c>
      <c r="B114" s="579" t="s">
        <v>754</v>
      </c>
      <c r="C114" s="173"/>
      <c r="D114" s="405" t="s">
        <v>344</v>
      </c>
      <c r="E114" s="412">
        <f>SUM(Разходи!D$10,-E$107)</f>
        <v>25459.275238577404</v>
      </c>
      <c r="F114" s="453">
        <f>SUM(Разходи!G$10,-F$107)</f>
        <v>31012.793835923836</v>
      </c>
    </row>
    <row r="115" spans="1:7" ht="14.25">
      <c r="A115" s="361" t="s">
        <v>658</v>
      </c>
      <c r="B115" s="579" t="s">
        <v>755</v>
      </c>
      <c r="C115" s="173"/>
      <c r="D115" s="405" t="s">
        <v>344</v>
      </c>
      <c r="E115" s="412">
        <f>SUM(Разходи!D$11,-E$108)</f>
        <v>6837.2449999999999</v>
      </c>
      <c r="F115" s="453">
        <f>SUM(Разходи!G$11,-F$108)</f>
        <v>6980.8980000000001</v>
      </c>
    </row>
    <row r="116" spans="1:7" ht="15.75">
      <c r="A116" s="361" t="s">
        <v>659</v>
      </c>
      <c r="B116" s="578" t="s">
        <v>756</v>
      </c>
      <c r="C116" s="173"/>
      <c r="D116" s="405" t="s">
        <v>344</v>
      </c>
      <c r="E116" s="412">
        <f>SUM(Разходи!D$61,-E$109)</f>
        <v>18622.030238577405</v>
      </c>
      <c r="F116" s="453">
        <f>SUM(Разходи!G$61,-F$109)</f>
        <v>24031.895835923835</v>
      </c>
    </row>
    <row r="117" spans="1:7" ht="15.75">
      <c r="A117" s="361">
        <v>41</v>
      </c>
      <c r="B117" s="574" t="s">
        <v>319</v>
      </c>
      <c r="C117" s="107"/>
      <c r="D117" s="107" t="s">
        <v>384</v>
      </c>
      <c r="E117" s="580">
        <v>10</v>
      </c>
      <c r="F117" s="581">
        <v>10</v>
      </c>
    </row>
    <row r="118" spans="1:7" s="336" customFormat="1" ht="15.75">
      <c r="A118" s="413">
        <v>42</v>
      </c>
      <c r="B118" s="407" t="s">
        <v>199</v>
      </c>
      <c r="C118" s="144" t="s">
        <v>237</v>
      </c>
      <c r="D118" s="144" t="s">
        <v>384</v>
      </c>
      <c r="E118" s="414">
        <f>SUM(E$110,E$117)</f>
        <v>145.21</v>
      </c>
      <c r="F118" s="454">
        <f>SUM(F$110,F$117)</f>
        <v>158.36000000000001</v>
      </c>
      <c r="G118" s="132"/>
    </row>
    <row r="119" spans="1:7" ht="15.75">
      <c r="A119" s="361">
        <v>43</v>
      </c>
      <c r="B119" s="415">
        <v>2008</v>
      </c>
      <c r="C119" s="107" t="s">
        <v>236</v>
      </c>
      <c r="D119" s="107" t="s">
        <v>384</v>
      </c>
      <c r="E119" s="416">
        <f>IF(B119&lt;2004,E110,E118)</f>
        <v>145.21</v>
      </c>
      <c r="F119" s="455">
        <f>IF(1990&lt;2004,F110,F118)</f>
        <v>148.36000000000001</v>
      </c>
    </row>
    <row r="120" spans="1:7" ht="15.75">
      <c r="A120" s="361">
        <v>44</v>
      </c>
      <c r="B120" s="394" t="s">
        <v>318</v>
      </c>
      <c r="C120" s="107" t="s">
        <v>235</v>
      </c>
      <c r="D120" s="107" t="s">
        <v>384</v>
      </c>
      <c r="E120" s="393">
        <f>E110</f>
        <v>135.21</v>
      </c>
      <c r="F120" s="444">
        <f>F110</f>
        <v>148.36000000000001</v>
      </c>
    </row>
    <row r="121" spans="1:7" ht="15.75">
      <c r="A121" s="361">
        <v>45</v>
      </c>
      <c r="B121" s="394" t="s">
        <v>157</v>
      </c>
      <c r="C121" s="107" t="s">
        <v>238</v>
      </c>
      <c r="D121" s="405" t="s">
        <v>344</v>
      </c>
      <c r="E121" s="417">
        <f>SUMPRODUCT(E65:E67,E118:E120)/1000</f>
        <v>29049.2605</v>
      </c>
      <c r="F121" s="453">
        <f>SUMPRODUCT(F65:F67,F118:F120)/1000</f>
        <v>35050.084000000003</v>
      </c>
    </row>
    <row r="122" spans="1:7" ht="15.75">
      <c r="A122" s="211">
        <v>46</v>
      </c>
      <c r="B122" s="456" t="s">
        <v>552</v>
      </c>
      <c r="C122" s="107" t="s">
        <v>239</v>
      </c>
      <c r="D122" s="405" t="s">
        <v>344</v>
      </c>
      <c r="E122" s="417">
        <f>SUM(Разходи!D$8,-E$121)</f>
        <v>24056.200938577404</v>
      </c>
      <c r="F122" s="453">
        <f>SUM(Разходи!G$8,-F$121)</f>
        <v>29481.712335923832</v>
      </c>
    </row>
    <row r="123" spans="1:7" ht="15.75">
      <c r="A123" s="361">
        <v>47</v>
      </c>
      <c r="B123" s="571" t="s">
        <v>198</v>
      </c>
      <c r="C123" s="418" t="s">
        <v>159</v>
      </c>
      <c r="D123" s="107" t="s">
        <v>384</v>
      </c>
      <c r="E123" s="419">
        <f>IF(E8=0,0,ROUND(E122/E8*1000,2))</f>
        <v>34.840000000000003</v>
      </c>
      <c r="F123" s="457">
        <f>IF(F8=0,0,ROUND(F122/F8*1000,2))</f>
        <v>39.03</v>
      </c>
    </row>
    <row r="124" spans="1:7" ht="15.75">
      <c r="A124" s="361">
        <v>48</v>
      </c>
      <c r="B124" s="572" t="s">
        <v>196</v>
      </c>
      <c r="C124" s="420" t="s">
        <v>87</v>
      </c>
      <c r="D124" s="403" t="s">
        <v>384</v>
      </c>
      <c r="E124" s="421">
        <f>IF(E9=0,0,SUM(IF(E8=0,0,IF(Разходи!D8=0,0,E122/Разходи!D8*Разходи!D61)/E8*1000)*E9,IF(E102=0,0,SUM(E122,-IF(Разходи!D8=0,0,E122/Разходи!D8*Разходи!D61))/E102*E103*1000/E9)*E9)/E9)</f>
        <v>27.19088535859547</v>
      </c>
      <c r="F124" s="458">
        <f>IF(F9=0,0,SUM(IF(F8=0,0,IF(Разходи!G8=0,0,F122/Разходи!G8*Разходи!G61)/F8*1000)*F9,IF(F102=0,0,SUM(F122,-IF(Разходи!G8=0,0,F122/Разходи!G8*Разходи!G61))/F102*F103*1000/F9)*F9)/F9)</f>
        <v>31.30847431184068</v>
      </c>
    </row>
    <row r="125" spans="1:7" ht="16.5" thickBot="1">
      <c r="A125" s="459">
        <v>49</v>
      </c>
      <c r="B125" s="573" t="s">
        <v>197</v>
      </c>
      <c r="C125" s="460" t="s">
        <v>168</v>
      </c>
      <c r="D125" s="461" t="s">
        <v>384</v>
      </c>
      <c r="E125" s="462">
        <f>IF(E10=0,0,SUM(IF(E8=0,0,IF(Разходи!D8=0,0,E122/Разходи!D8*Разходи!D61)/E8*1000)*E10,IF(E102=0,0,SUM(E122,-IF(Разходи!D8=0,0,E122/Разходи!D8*Разходи!D61))/E102*E104*1000/E10)*E10)/E10)</f>
        <v>40.6006245698144</v>
      </c>
      <c r="F125" s="463">
        <f>IF(F10=0,0,SUM(IF(F8=0,0,IF(Разходи!G8=0,0,F122/Разходи!G8*Разходи!G61)/F8*1000)*F10,IF(F102=0,0,SUM(F122,-IF(Разходи!G8=0,0,F122/Разходи!G8*Разходи!G61))/F102*F104*1000/F10)*F10)/F10)</f>
        <v>45.911994895617703</v>
      </c>
    </row>
    <row r="126" spans="1:7" ht="13.5" thickTop="1"/>
    <row r="127" spans="1:7" ht="13.5" thickBot="1"/>
    <row r="128" spans="1:7" ht="32.25" customHeight="1" thickTop="1">
      <c r="A128" s="776" t="s">
        <v>0</v>
      </c>
      <c r="B128" s="780">
        <f>B5</f>
        <v>7.2016</v>
      </c>
      <c r="C128" s="782" t="s">
        <v>42</v>
      </c>
      <c r="D128" s="784" t="s">
        <v>14</v>
      </c>
      <c r="E128" s="341" t="s">
        <v>341</v>
      </c>
      <c r="F128" s="342" t="s">
        <v>342</v>
      </c>
    </row>
    <row r="129" spans="1:6" ht="15.75">
      <c r="A129" s="777"/>
      <c r="B129" s="781"/>
      <c r="C129" s="783"/>
      <c r="D129" s="785"/>
      <c r="E129" s="691">
        <f>($B$5-7.0001)*10000</f>
        <v>2015.0000000000023</v>
      </c>
      <c r="F129" s="524">
        <f>$B$5</f>
        <v>7.2016</v>
      </c>
    </row>
    <row r="130" spans="1:6">
      <c r="A130" s="343">
        <v>1</v>
      </c>
      <c r="B130" s="344">
        <v>2</v>
      </c>
      <c r="C130" s="345">
        <v>3</v>
      </c>
      <c r="D130" s="345">
        <v>4</v>
      </c>
      <c r="E130" s="346">
        <v>5</v>
      </c>
      <c r="F130" s="525">
        <v>6</v>
      </c>
    </row>
    <row r="131" spans="1:6" ht="15">
      <c r="A131" s="584">
        <v>1</v>
      </c>
      <c r="B131" s="582" t="s">
        <v>724</v>
      </c>
      <c r="C131" s="119"/>
      <c r="D131" s="326" t="s">
        <v>722</v>
      </c>
      <c r="E131" s="305">
        <f>SUM(E133,-E132)</f>
        <v>392</v>
      </c>
      <c r="F131" s="585">
        <f>SUM(F133,-F132)</f>
        <v>384</v>
      </c>
    </row>
    <row r="132" spans="1:6" ht="15">
      <c r="A132" s="584">
        <v>2</v>
      </c>
      <c r="B132" s="582" t="s">
        <v>726</v>
      </c>
      <c r="C132" s="119"/>
      <c r="D132" s="326" t="s">
        <v>722</v>
      </c>
      <c r="E132" s="302">
        <v>65</v>
      </c>
      <c r="F132" s="546">
        <v>61</v>
      </c>
    </row>
    <row r="133" spans="1:6" ht="16.5" thickBot="1">
      <c r="A133" s="586">
        <v>3</v>
      </c>
      <c r="B133" s="587" t="s">
        <v>725</v>
      </c>
      <c r="C133" s="473"/>
      <c r="D133" s="547" t="s">
        <v>722</v>
      </c>
      <c r="E133" s="588">
        <v>457</v>
      </c>
      <c r="F133" s="589">
        <v>445</v>
      </c>
    </row>
    <row r="134" spans="1:6" ht="14.25" thickTop="1">
      <c r="A134" s="542"/>
      <c r="B134" s="567"/>
      <c r="C134" s="544"/>
      <c r="D134" s="544"/>
      <c r="E134" s="544"/>
    </row>
    <row r="135" spans="1:6" ht="13.5">
      <c r="A135" s="542"/>
      <c r="B135" s="567"/>
      <c r="C135" s="544"/>
      <c r="D135" s="544"/>
      <c r="E135" s="544"/>
    </row>
    <row r="136" spans="1:6" ht="13.5">
      <c r="A136" s="542"/>
      <c r="B136" s="567"/>
      <c r="C136" s="544"/>
      <c r="D136" s="544"/>
      <c r="E136" s="544"/>
    </row>
    <row r="137" spans="1:6">
      <c r="F137" s="422"/>
    </row>
    <row r="138" spans="1:6" ht="15.75">
      <c r="A138" s="106" t="str">
        <f>Разходи!$A$91</f>
        <v>Гл. счетоводител:</v>
      </c>
      <c r="B138" s="423"/>
      <c r="C138" s="424" t="str">
        <f>Разходи!$E$91</f>
        <v>Изп. директор:</v>
      </c>
      <c r="D138" s="424"/>
      <c r="E138" s="202"/>
      <c r="F138" s="202"/>
    </row>
    <row r="139" spans="1:6">
      <c r="B139" s="202" t="str">
        <f>Разходи!$B$93</f>
        <v>/ Л. Джамбазка /</v>
      </c>
      <c r="C139" s="424"/>
      <c r="D139" s="786" t="str">
        <f>Разходи!$F$93</f>
        <v>/Ст. Йорданов/</v>
      </c>
      <c r="E139" s="786"/>
      <c r="F139" s="786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D128:D129"/>
    <mergeCell ref="D139:F139"/>
    <mergeCell ref="B1:C1"/>
    <mergeCell ref="B2:C2"/>
    <mergeCell ref="C5:C6"/>
    <mergeCell ref="D5:D6"/>
    <mergeCell ref="A5:A6"/>
    <mergeCell ref="B5:B6"/>
    <mergeCell ref="A128:A129"/>
    <mergeCell ref="B128:B129"/>
    <mergeCell ref="C128:C129"/>
  </mergeCells>
  <phoneticPr fontId="0" type="noConversion"/>
  <dataValidations xWindow="618" yWindow="103" count="1">
    <dataValidation type="whole" operator="lessThanOrEqual" allowBlank="1" showInputMessage="1" showErrorMessage="1" sqref="E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  <ignoredErrors>
    <ignoredError sqref="E29 E18:E19 F19 E17:F17 F18 E21:F21 E22:F22 E60:F60" unlockedFormula="1"/>
    <ignoredError sqref="E24:F24 E69" formulaRange="1"/>
    <ignoredError sqref="E106:F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"/>
  <sheetViews>
    <sheetView showGridLines="0" showZeros="0" workbookViewId="0">
      <pane ySplit="3" topLeftCell="A55" activePane="bottomLeft" state="frozen"/>
      <selection pane="bottomLeft" activeCell="F9" sqref="F9"/>
    </sheetView>
  </sheetViews>
  <sheetFormatPr defaultColWidth="0" defaultRowHeight="12.75" zeroHeight="1"/>
  <cols>
    <col min="1" max="1" width="4.28515625" style="288" customWidth="1"/>
    <col min="2" max="2" width="59" style="288" customWidth="1"/>
    <col min="3" max="3" width="7.5703125" style="288" bestFit="1" customWidth="1"/>
    <col min="4" max="4" width="10.7109375" style="288" customWidth="1"/>
    <col min="5" max="5" width="12.85546875" style="288" customWidth="1"/>
    <col min="6" max="6" width="9.140625" style="288" customWidth="1"/>
    <col min="7" max="16384" width="0" style="288" hidden="1"/>
  </cols>
  <sheetData>
    <row r="1" spans="1:6" ht="18.75">
      <c r="A1" s="286"/>
      <c r="B1" s="805">
        <v>5</v>
      </c>
      <c r="C1" s="805"/>
      <c r="D1" s="287"/>
      <c r="E1" s="133" t="s">
        <v>695</v>
      </c>
    </row>
    <row r="2" spans="1:6" ht="15.75">
      <c r="A2" s="289"/>
      <c r="B2" s="806" t="s">
        <v>208</v>
      </c>
      <c r="C2" s="806"/>
      <c r="D2" s="289"/>
      <c r="E2" s="289"/>
    </row>
    <row r="3" spans="1:6">
      <c r="A3" s="290"/>
      <c r="B3" s="807" t="str">
        <f>'ТИП-ПРОИЗ'!$B$3:$C$3</f>
        <v>"Топлофикация- Перник" АД</v>
      </c>
      <c r="C3" s="807"/>
      <c r="D3" s="291"/>
      <c r="E3" s="291"/>
    </row>
    <row r="4" spans="1:6" ht="13.5" thickBot="1">
      <c r="A4" s="290"/>
      <c r="B4" s="290"/>
      <c r="C4" s="290"/>
      <c r="D4" s="291"/>
      <c r="E4" s="291"/>
    </row>
    <row r="5" spans="1:6" ht="14.25" thickTop="1" thickBot="1">
      <c r="A5" s="795" t="s">
        <v>37</v>
      </c>
      <c r="B5" s="797" t="s">
        <v>337</v>
      </c>
      <c r="C5" s="799" t="s">
        <v>2</v>
      </c>
      <c r="D5" s="292" t="s">
        <v>341</v>
      </c>
      <c r="E5" s="293" t="s">
        <v>342</v>
      </c>
    </row>
    <row r="6" spans="1:6" ht="13.5" thickTop="1">
      <c r="A6" s="796"/>
      <c r="B6" s="798"/>
      <c r="C6" s="800"/>
      <c r="D6" s="672" t="s">
        <v>777</v>
      </c>
      <c r="E6" s="668">
        <f>'ТИП-ПРОИЗ'!F6</f>
        <v>7.2016</v>
      </c>
    </row>
    <row r="7" spans="1:6" ht="15.75">
      <c r="A7" s="295">
        <v>1</v>
      </c>
      <c r="B7" s="296" t="s">
        <v>392</v>
      </c>
      <c r="C7" s="297" t="s">
        <v>70</v>
      </c>
      <c r="D7" s="298">
        <f>SUM(D8:D9)</f>
        <v>201824</v>
      </c>
      <c r="E7" s="527">
        <f>SUM(E8:E9)</f>
        <v>264750</v>
      </c>
      <c r="F7" s="299"/>
    </row>
    <row r="8" spans="1:6">
      <c r="A8" s="300">
        <v>2</v>
      </c>
      <c r="B8" s="301" t="s">
        <v>184</v>
      </c>
      <c r="C8" s="297" t="s">
        <v>70</v>
      </c>
      <c r="D8" s="57">
        <v>177324</v>
      </c>
      <c r="E8" s="680">
        <v>239750</v>
      </c>
      <c r="F8" s="299"/>
    </row>
    <row r="9" spans="1:6">
      <c r="A9" s="295">
        <v>3</v>
      </c>
      <c r="B9" s="303" t="s">
        <v>181</v>
      </c>
      <c r="C9" s="297" t="s">
        <v>70</v>
      </c>
      <c r="D9" s="57">
        <v>24500</v>
      </c>
      <c r="E9" s="58">
        <v>25000</v>
      </c>
      <c r="F9" s="858"/>
    </row>
    <row r="10" spans="1:6">
      <c r="A10" s="300">
        <v>4</v>
      </c>
      <c r="B10" s="304" t="s">
        <v>180</v>
      </c>
      <c r="C10" s="297" t="s">
        <v>70</v>
      </c>
      <c r="D10" s="59">
        <v>94908</v>
      </c>
      <c r="E10" s="681">
        <v>91500</v>
      </c>
    </row>
    <row r="11" spans="1:6">
      <c r="A11" s="295">
        <v>5</v>
      </c>
      <c r="B11" s="304" t="s">
        <v>180</v>
      </c>
      <c r="C11" s="305" t="s">
        <v>7</v>
      </c>
      <c r="D11" s="306">
        <f>IF(D12=0,0,ROUND(D10/D12,4))</f>
        <v>0.31979999999999997</v>
      </c>
      <c r="E11" s="320">
        <f>IF(E12=0,0,ROUND(E10/E12,4))</f>
        <v>0.25679999999999997</v>
      </c>
    </row>
    <row r="12" spans="1:6">
      <c r="A12" s="300">
        <v>6</v>
      </c>
      <c r="B12" s="304" t="s">
        <v>38</v>
      </c>
      <c r="C12" s="297" t="s">
        <v>70</v>
      </c>
      <c r="D12" s="307">
        <f>SUM(D7,D10)</f>
        <v>296732</v>
      </c>
      <c r="E12" s="528">
        <f>SUM(E7,E10)</f>
        <v>356250</v>
      </c>
      <c r="F12" s="299"/>
    </row>
    <row r="13" spans="1:6" ht="13.5">
      <c r="A13" s="295">
        <v>7</v>
      </c>
      <c r="B13" s="308" t="s">
        <v>346</v>
      </c>
      <c r="C13" s="297" t="s">
        <v>344</v>
      </c>
      <c r="D13" s="309">
        <f>D20*D12/1000</f>
        <v>8068.4057942267509</v>
      </c>
      <c r="E13" s="310">
        <f>E20*E12/1000</f>
        <v>11153.643973593242</v>
      </c>
    </row>
    <row r="14" spans="1:6">
      <c r="A14" s="300">
        <v>8</v>
      </c>
      <c r="B14" s="304" t="s">
        <v>539</v>
      </c>
      <c r="C14" s="297" t="s">
        <v>344</v>
      </c>
      <c r="D14" s="309">
        <f>SUM(D15:D16)</f>
        <v>5049</v>
      </c>
      <c r="E14" s="310">
        <f>SUM(E15:E16)</f>
        <v>6505.4225999999999</v>
      </c>
    </row>
    <row r="15" spans="1:6">
      <c r="A15" s="295">
        <v>9</v>
      </c>
      <c r="B15" s="304" t="s">
        <v>345</v>
      </c>
      <c r="C15" s="297" t="s">
        <v>344</v>
      </c>
      <c r="D15" s="309">
        <f>Разходи!E9</f>
        <v>0</v>
      </c>
      <c r="E15" s="310">
        <f>Разходи!H9</f>
        <v>1182.9225999999999</v>
      </c>
    </row>
    <row r="16" spans="1:6">
      <c r="A16" s="300">
        <v>10</v>
      </c>
      <c r="B16" s="304" t="s">
        <v>555</v>
      </c>
      <c r="C16" s="297" t="s">
        <v>344</v>
      </c>
      <c r="D16" s="309">
        <f>SUM(D17:D18)</f>
        <v>5049</v>
      </c>
      <c r="E16" s="310">
        <f>SUM(E17:E18)</f>
        <v>5322.5</v>
      </c>
    </row>
    <row r="17" spans="1:6">
      <c r="A17" s="295">
        <v>11</v>
      </c>
      <c r="B17" s="304" t="s">
        <v>347</v>
      </c>
      <c r="C17" s="297" t="s">
        <v>344</v>
      </c>
      <c r="D17" s="309">
        <f>Разходи!E11</f>
        <v>4676</v>
      </c>
      <c r="E17" s="310">
        <f>Разходи!H11</f>
        <v>4889.5</v>
      </c>
    </row>
    <row r="18" spans="1:6">
      <c r="A18" s="300">
        <v>12</v>
      </c>
      <c r="B18" s="304" t="s">
        <v>541</v>
      </c>
      <c r="C18" s="297" t="s">
        <v>344</v>
      </c>
      <c r="D18" s="309">
        <f>Разходи!E61</f>
        <v>373</v>
      </c>
      <c r="E18" s="310">
        <f>Разходи!H61</f>
        <v>433</v>
      </c>
    </row>
    <row r="19" spans="1:6">
      <c r="A19" s="295">
        <v>13</v>
      </c>
      <c r="B19" s="304" t="s">
        <v>472</v>
      </c>
      <c r="C19" s="297" t="s">
        <v>344</v>
      </c>
      <c r="D19" s="309">
        <f>D10*D20/1000</f>
        <v>2580.6325476135789</v>
      </c>
      <c r="E19" s="310">
        <f>E10*E20/1000</f>
        <v>2864.7253995334222</v>
      </c>
    </row>
    <row r="20" spans="1:6" ht="13.5">
      <c r="A20" s="300">
        <v>14</v>
      </c>
      <c r="B20" s="311" t="s">
        <v>335</v>
      </c>
      <c r="C20" s="297" t="s">
        <v>204</v>
      </c>
      <c r="D20" s="312">
        <f>'ТИП-ПРОИЗ'!E124</f>
        <v>27.19088535859547</v>
      </c>
      <c r="E20" s="529">
        <f>'ТИП-ПРОИЗ'!F124</f>
        <v>31.30847431184068</v>
      </c>
      <c r="F20" s="299"/>
    </row>
    <row r="21" spans="1:6">
      <c r="A21" s="295">
        <v>15</v>
      </c>
      <c r="B21" s="313" t="s">
        <v>540</v>
      </c>
      <c r="C21" s="297" t="s">
        <v>204</v>
      </c>
      <c r="D21" s="314">
        <f>IF(D7=0,0,SUM(D14,D19)/D7*1000)</f>
        <v>37.803395768657737</v>
      </c>
      <c r="E21" s="530">
        <f>IF(E7=0,0,SUM(E14,E19)/E7*1000)</f>
        <v>35.39243814743503</v>
      </c>
      <c r="F21" s="299"/>
    </row>
    <row r="22" spans="1:6">
      <c r="A22" s="300">
        <v>16</v>
      </c>
      <c r="B22" s="313" t="s">
        <v>719</v>
      </c>
      <c r="C22" s="297" t="s">
        <v>204</v>
      </c>
      <c r="D22" s="314">
        <f>IF(D7=0,0,D19/D7*1000)</f>
        <v>12.786549407471751</v>
      </c>
      <c r="E22" s="530">
        <f>IF(E7=0,0,E19/E7*1000)</f>
        <v>10.820492538369868</v>
      </c>
      <c r="F22" s="299"/>
    </row>
    <row r="23" spans="1:6" ht="15.75">
      <c r="A23" s="295">
        <v>17</v>
      </c>
      <c r="B23" s="540" t="s">
        <v>183</v>
      </c>
      <c r="C23" s="297" t="s">
        <v>204</v>
      </c>
      <c r="D23" s="315">
        <f>ROUNDUP(IF(D7=0,0,SUM(D20*D12,D14*1000)/D7),2)</f>
        <v>65</v>
      </c>
      <c r="E23" s="316">
        <f>ROUNDUP(IF(E7=0,0,SUM(E20*E12,E14*1000)/E7),2)</f>
        <v>66.710000000000008</v>
      </c>
    </row>
    <row r="24" spans="1:6" ht="13.5" thickBot="1">
      <c r="A24" s="531">
        <v>18</v>
      </c>
      <c r="B24" s="532" t="s">
        <v>553</v>
      </c>
      <c r="C24" s="533" t="s">
        <v>96</v>
      </c>
      <c r="D24" s="534">
        <f>D23*D7/1000</f>
        <v>13118.56</v>
      </c>
      <c r="E24" s="535">
        <f>E23*E7/1000</f>
        <v>17661.472500000003</v>
      </c>
    </row>
    <row r="25" spans="1:6" ht="13.5" thickTop="1">
      <c r="A25" s="290"/>
      <c r="B25" s="290"/>
      <c r="C25" s="290"/>
      <c r="D25" s="291"/>
      <c r="E25" s="291"/>
    </row>
    <row r="26" spans="1:6" ht="13.5" thickBot="1">
      <c r="A26" s="290"/>
      <c r="B26" s="290"/>
      <c r="C26" s="290"/>
      <c r="D26" s="291"/>
      <c r="E26" s="291"/>
    </row>
    <row r="27" spans="1:6" ht="13.5" customHeight="1" thickTop="1" thickBot="1">
      <c r="A27" s="789" t="s">
        <v>37</v>
      </c>
      <c r="B27" s="809" t="s">
        <v>336</v>
      </c>
      <c r="C27" s="791" t="s">
        <v>2</v>
      </c>
      <c r="D27" s="671" t="s">
        <v>341</v>
      </c>
      <c r="E27" s="293" t="s">
        <v>342</v>
      </c>
    </row>
    <row r="28" spans="1:6" ht="13.5" customHeight="1" thickTop="1">
      <c r="A28" s="790"/>
      <c r="B28" s="810"/>
      <c r="C28" s="792"/>
      <c r="D28" s="672" t="s">
        <v>777</v>
      </c>
      <c r="E28" s="668">
        <f>E6</f>
        <v>7.2016</v>
      </c>
    </row>
    <row r="29" spans="1:6">
      <c r="A29" s="317">
        <v>1</v>
      </c>
      <c r="B29" s="318">
        <v>2</v>
      </c>
      <c r="C29" s="319">
        <v>3</v>
      </c>
      <c r="D29" s="669">
        <v>5</v>
      </c>
      <c r="E29" s="670">
        <v>8</v>
      </c>
    </row>
    <row r="30" spans="1:6" ht="15.75">
      <c r="A30" s="300">
        <v>1</v>
      </c>
      <c r="B30" s="541" t="s">
        <v>339</v>
      </c>
      <c r="C30" s="297" t="s">
        <v>70</v>
      </c>
      <c r="D30" s="83">
        <v>393782</v>
      </c>
      <c r="E30" s="682">
        <v>399200</v>
      </c>
    </row>
    <row r="31" spans="1:6">
      <c r="A31" s="300">
        <v>2</v>
      </c>
      <c r="B31" s="304" t="s">
        <v>180</v>
      </c>
      <c r="C31" s="297" t="s">
        <v>70</v>
      </c>
      <c r="D31" s="57"/>
      <c r="E31" s="58"/>
    </row>
    <row r="32" spans="1:6">
      <c r="A32" s="300">
        <v>3</v>
      </c>
      <c r="B32" s="304" t="s">
        <v>180</v>
      </c>
      <c r="C32" s="305" t="s">
        <v>7</v>
      </c>
      <c r="D32" s="306">
        <f>IF(D33=0,0,ROUND(D31/D33,4))</f>
        <v>0</v>
      </c>
      <c r="E32" s="320">
        <f>IF(E33=0,0,ROUND(E31/E33,4))</f>
        <v>0</v>
      </c>
    </row>
    <row r="33" spans="1:6">
      <c r="A33" s="300">
        <v>4</v>
      </c>
      <c r="B33" s="304" t="s">
        <v>340</v>
      </c>
      <c r="C33" s="297" t="s">
        <v>70</v>
      </c>
      <c r="D33" s="321">
        <f>SUM(D30:D31)</f>
        <v>393782</v>
      </c>
      <c r="E33" s="322">
        <f>SUM(E30:E31)</f>
        <v>399200</v>
      </c>
      <c r="F33" s="299"/>
    </row>
    <row r="34" spans="1:6">
      <c r="A34" s="300">
        <v>5</v>
      </c>
      <c r="B34" s="323" t="s">
        <v>348</v>
      </c>
      <c r="C34" s="297" t="s">
        <v>344</v>
      </c>
      <c r="D34" s="309">
        <f>D33*D41/1000</f>
        <v>15987.795144350654</v>
      </c>
      <c r="E34" s="310">
        <f>E33*E41/1000</f>
        <v>18328.068362330585</v>
      </c>
      <c r="F34" s="299"/>
    </row>
    <row r="35" spans="1:6">
      <c r="A35" s="300">
        <v>6</v>
      </c>
      <c r="B35" s="304" t="s">
        <v>349</v>
      </c>
      <c r="C35" s="297" t="s">
        <v>344</v>
      </c>
      <c r="D35" s="309">
        <f>SUM(D36:D37)</f>
        <v>0</v>
      </c>
      <c r="E35" s="310">
        <f>SUM(E36:E37)</f>
        <v>0</v>
      </c>
      <c r="F35" s="299"/>
    </row>
    <row r="36" spans="1:6">
      <c r="A36" s="300">
        <v>7</v>
      </c>
      <c r="B36" s="304" t="s">
        <v>350</v>
      </c>
      <c r="C36" s="297" t="s">
        <v>344</v>
      </c>
      <c r="D36" s="57"/>
      <c r="E36" s="58"/>
      <c r="F36" s="299"/>
    </row>
    <row r="37" spans="1:6">
      <c r="A37" s="300">
        <v>8</v>
      </c>
      <c r="B37" s="304" t="s">
        <v>554</v>
      </c>
      <c r="C37" s="297" t="s">
        <v>344</v>
      </c>
      <c r="D37" s="309">
        <f>SUM(D38:D39)</f>
        <v>0</v>
      </c>
      <c r="E37" s="310">
        <f>SUM(E38:E39)</f>
        <v>0</v>
      </c>
      <c r="F37" s="299"/>
    </row>
    <row r="38" spans="1:6">
      <c r="A38" s="300">
        <v>9</v>
      </c>
      <c r="B38" s="304" t="s">
        <v>351</v>
      </c>
      <c r="C38" s="297" t="s">
        <v>344</v>
      </c>
      <c r="D38" s="309"/>
      <c r="E38" s="310"/>
      <c r="F38" s="299"/>
    </row>
    <row r="39" spans="1:6">
      <c r="A39" s="300">
        <v>10</v>
      </c>
      <c r="B39" s="304" t="s">
        <v>556</v>
      </c>
      <c r="C39" s="297" t="s">
        <v>344</v>
      </c>
      <c r="D39" s="309"/>
      <c r="E39" s="310"/>
      <c r="F39" s="299"/>
    </row>
    <row r="40" spans="1:6">
      <c r="A40" s="300">
        <v>11</v>
      </c>
      <c r="B40" s="304" t="s">
        <v>473</v>
      </c>
      <c r="C40" s="297" t="s">
        <v>344</v>
      </c>
      <c r="D40" s="309">
        <f>D31*D41/1000</f>
        <v>0</v>
      </c>
      <c r="E40" s="310">
        <f>E31*E41/1000</f>
        <v>0</v>
      </c>
      <c r="F40" s="299"/>
    </row>
    <row r="41" spans="1:6" ht="13.5">
      <c r="A41" s="300">
        <v>12</v>
      </c>
      <c r="B41" s="311" t="s">
        <v>333</v>
      </c>
      <c r="C41" s="297" t="s">
        <v>204</v>
      </c>
      <c r="D41" s="314">
        <f>'ТИП-ПРОИЗ'!E125</f>
        <v>40.6006245698144</v>
      </c>
      <c r="E41" s="530">
        <f>'ТИП-ПРОИЗ'!F125</f>
        <v>45.911994895617703</v>
      </c>
      <c r="F41" s="299"/>
    </row>
    <row r="42" spans="1:6">
      <c r="A42" s="300">
        <v>13</v>
      </c>
      <c r="B42" s="313" t="s">
        <v>334</v>
      </c>
      <c r="C42" s="297" t="s">
        <v>204</v>
      </c>
      <c r="D42" s="314">
        <f>IF(D30=0,0,SUM(D35,D40)/D30*1000)</f>
        <v>0</v>
      </c>
      <c r="E42" s="530">
        <f>IF(E30=0,0,SUM(E35,E40)/E30*1000)</f>
        <v>0</v>
      </c>
      <c r="F42" s="299"/>
    </row>
    <row r="43" spans="1:6">
      <c r="A43" s="300">
        <v>14</v>
      </c>
      <c r="B43" s="313" t="s">
        <v>720</v>
      </c>
      <c r="C43" s="297" t="s">
        <v>204</v>
      </c>
      <c r="D43" s="314">
        <f>IF(D30=0,0,D40/D30*1000)</f>
        <v>0</v>
      </c>
      <c r="E43" s="530">
        <f>IF(E30=0,0,E40/E30*1000)</f>
        <v>0</v>
      </c>
      <c r="F43" s="299"/>
    </row>
    <row r="44" spans="1:6" ht="15.75">
      <c r="A44" s="300">
        <v>15</v>
      </c>
      <c r="B44" s="540" t="s">
        <v>182</v>
      </c>
      <c r="C44" s="297" t="s">
        <v>204</v>
      </c>
      <c r="D44" s="324">
        <f>ROUNDUP(IF(D30=0,0,SUM(D41*D33,D35*1000)/D30),4)</f>
        <v>40.600700000000003</v>
      </c>
      <c r="E44" s="325">
        <f>ROUNDUP(IF(E30=0,0,SUM(E41*E33,E35*1000)/E30),4)</f>
        <v>45.912000000000006</v>
      </c>
      <c r="F44" s="299"/>
    </row>
    <row r="45" spans="1:6" ht="13.5" thickBot="1">
      <c r="A45" s="531">
        <v>16</v>
      </c>
      <c r="B45" s="532" t="s">
        <v>343</v>
      </c>
      <c r="C45" s="533" t="s">
        <v>96</v>
      </c>
      <c r="D45" s="534">
        <f>D44*D30/1000</f>
        <v>15987.824847400003</v>
      </c>
      <c r="E45" s="535">
        <f>E44*E30/1000</f>
        <v>18328.070400000001</v>
      </c>
    </row>
    <row r="46" spans="1:6" s="122" customFormat="1" ht="13.5" thickTop="1"/>
    <row r="47" spans="1:6" s="122" customFormat="1" ht="13.5" thickBot="1"/>
    <row r="48" spans="1:6" ht="13.5" thickTop="1">
      <c r="A48" s="801" t="s">
        <v>37</v>
      </c>
      <c r="B48" s="803" t="s">
        <v>723</v>
      </c>
      <c r="C48" s="799" t="s">
        <v>2</v>
      </c>
      <c r="D48" s="292" t="s">
        <v>341</v>
      </c>
      <c r="E48" s="293" t="s">
        <v>342</v>
      </c>
    </row>
    <row r="49" spans="1:5">
      <c r="A49" s="802"/>
      <c r="B49" s="804"/>
      <c r="C49" s="800"/>
      <c r="D49" s="294" t="str">
        <f>D6</f>
        <v>от7.2015</v>
      </c>
      <c r="E49" s="526">
        <f>E6</f>
        <v>7.2016</v>
      </c>
    </row>
    <row r="50" spans="1:5" ht="13.5">
      <c r="A50" s="555">
        <v>1</v>
      </c>
      <c r="B50" s="551" t="s">
        <v>206</v>
      </c>
      <c r="C50" s="326" t="s">
        <v>338</v>
      </c>
      <c r="D50" s="327">
        <f>SUM(D51,D54)</f>
        <v>4073135</v>
      </c>
      <c r="E50" s="545">
        <f>SUM(E51,E54)</f>
        <v>4073135</v>
      </c>
    </row>
    <row r="51" spans="1:5" ht="13.5">
      <c r="A51" s="556">
        <v>2</v>
      </c>
      <c r="B51" s="552" t="s">
        <v>207</v>
      </c>
      <c r="C51" s="326" t="s">
        <v>338</v>
      </c>
      <c r="D51" s="309">
        <f>SUM(D52:D53)</f>
        <v>3676137</v>
      </c>
      <c r="E51" s="310">
        <f>SUM(E52:E53)</f>
        <v>3676137</v>
      </c>
    </row>
    <row r="52" spans="1:5">
      <c r="A52" s="555">
        <v>3</v>
      </c>
      <c r="B52" s="553" t="s">
        <v>185</v>
      </c>
      <c r="C52" s="326" t="s">
        <v>338</v>
      </c>
      <c r="D52" s="546">
        <v>3195076</v>
      </c>
      <c r="E52" s="546">
        <v>3195076</v>
      </c>
    </row>
    <row r="53" spans="1:5">
      <c r="A53" s="556">
        <v>4</v>
      </c>
      <c r="B53" s="553" t="s">
        <v>186</v>
      </c>
      <c r="C53" s="326" t="s">
        <v>338</v>
      </c>
      <c r="D53" s="546">
        <v>481061</v>
      </c>
      <c r="E53" s="546">
        <v>481061</v>
      </c>
    </row>
    <row r="54" spans="1:5" ht="13.5">
      <c r="A54" s="555">
        <v>5</v>
      </c>
      <c r="B54" s="552" t="s">
        <v>205</v>
      </c>
      <c r="C54" s="326" t="s">
        <v>338</v>
      </c>
      <c r="D54" s="309">
        <f>SUM(D55:D56)</f>
        <v>396998</v>
      </c>
      <c r="E54" s="310">
        <f>SUM(E55:E56)</f>
        <v>396998</v>
      </c>
    </row>
    <row r="55" spans="1:5">
      <c r="A55" s="556">
        <v>6</v>
      </c>
      <c r="B55" s="553" t="s">
        <v>185</v>
      </c>
      <c r="C55" s="326" t="s">
        <v>338</v>
      </c>
      <c r="D55" s="546">
        <v>2772</v>
      </c>
      <c r="E55" s="546">
        <v>2772</v>
      </c>
    </row>
    <row r="56" spans="1:5">
      <c r="A56" s="557">
        <v>7</v>
      </c>
      <c r="B56" s="554" t="s">
        <v>186</v>
      </c>
      <c r="C56" s="548" t="s">
        <v>338</v>
      </c>
      <c r="D56" s="549">
        <v>394226</v>
      </c>
      <c r="E56" s="549">
        <v>394226</v>
      </c>
    </row>
    <row r="57" spans="1:5" ht="13.5" thickBot="1">
      <c r="A57" s="558">
        <v>8</v>
      </c>
      <c r="B57" s="590" t="s">
        <v>721</v>
      </c>
      <c r="C57" s="547" t="s">
        <v>722</v>
      </c>
      <c r="D57" s="547">
        <f>'ТИП-ПРОИЗ'!E132</f>
        <v>65</v>
      </c>
      <c r="E57" s="550">
        <f>'ТИП-ПРОИЗ'!F132</f>
        <v>61</v>
      </c>
    </row>
    <row r="58" spans="1:5" ht="13.5" thickTop="1">
      <c r="A58" s="542"/>
      <c r="B58" s="543"/>
      <c r="C58" s="544"/>
      <c r="D58" s="544"/>
      <c r="E58" s="544"/>
    </row>
    <row r="59" spans="1:5" ht="13.5" thickBot="1"/>
    <row r="60" spans="1:5" ht="13.5" thickTop="1">
      <c r="A60" s="793" t="s">
        <v>40</v>
      </c>
      <c r="B60" s="559" t="s">
        <v>187</v>
      </c>
      <c r="C60" s="560" t="s">
        <v>3</v>
      </c>
      <c r="D60" s="561">
        <f>SUM('ТИП-ПРОИЗ'!E122,Разходи!E8)</f>
        <v>29105.200938577404</v>
      </c>
      <c r="E60" s="562">
        <f>SUM('ТИП-ПРОИЗ'!F122,Разходи!H8)</f>
        <v>35987.13493592383</v>
      </c>
    </row>
    <row r="61" spans="1:5" ht="13.5" thickBot="1">
      <c r="A61" s="794"/>
      <c r="B61" s="563" t="s">
        <v>188</v>
      </c>
      <c r="C61" s="564" t="s">
        <v>3</v>
      </c>
      <c r="D61" s="565">
        <f>ROUND(SUM(D7*D23,D30*D44)/1000,0)</f>
        <v>29106</v>
      </c>
      <c r="E61" s="566">
        <f>ROUND(SUM(E7*E23,E30*E44)/1000,0)</f>
        <v>35990</v>
      </c>
    </row>
    <row r="62" spans="1:5" ht="13.5" thickTop="1">
      <c r="A62" s="328"/>
      <c r="B62" s="329"/>
      <c r="C62" s="329"/>
      <c r="D62" s="329"/>
      <c r="E62" s="329"/>
    </row>
    <row r="63" spans="1:5">
      <c r="A63" s="329"/>
      <c r="B63" s="329"/>
      <c r="C63" s="329"/>
      <c r="D63" s="329"/>
      <c r="E63" s="329"/>
    </row>
    <row r="64" spans="1:5">
      <c r="A64" s="329"/>
      <c r="B64" s="329"/>
      <c r="C64" s="329"/>
      <c r="D64" s="329"/>
      <c r="E64" s="329"/>
    </row>
    <row r="65" spans="1:5">
      <c r="A65" s="329"/>
      <c r="B65" s="329"/>
      <c r="C65" s="329"/>
      <c r="D65" s="329"/>
      <c r="E65" s="329"/>
    </row>
    <row r="66" spans="1:5" ht="15.75">
      <c r="A66" s="330" t="str">
        <f>Разходи!$A$91</f>
        <v>Гл. счетоводител:</v>
      </c>
      <c r="B66" s="331"/>
      <c r="D66" s="332"/>
      <c r="E66" s="332"/>
    </row>
    <row r="67" spans="1:5">
      <c r="A67" s="330"/>
      <c r="B67" s="333" t="str">
        <f>Разходи!$B$93</f>
        <v>/ Л. Джамбазка /</v>
      </c>
      <c r="D67" s="808" t="str">
        <f>Разходи!$F$93</f>
        <v>/Ст. Йорданов/</v>
      </c>
      <c r="E67" s="808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4">
    <mergeCell ref="B1:C1"/>
    <mergeCell ref="B2:C2"/>
    <mergeCell ref="B3:C3"/>
    <mergeCell ref="D67:E67"/>
    <mergeCell ref="B27:B28"/>
    <mergeCell ref="A27:A28"/>
    <mergeCell ref="C27:C28"/>
    <mergeCell ref="A60:A61"/>
    <mergeCell ref="A5:A6"/>
    <mergeCell ref="B5:B6"/>
    <mergeCell ref="C5:C6"/>
    <mergeCell ref="A48:A49"/>
    <mergeCell ref="B48:B49"/>
    <mergeCell ref="C48:C49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D33 D54:E54" formulaRange="1"/>
    <ignoredError sqref="D20:D21 D44 D42" unlockedFormula="1"/>
    <ignoredError sqref="D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98"/>
  <sheetViews>
    <sheetView showGridLines="0" showZeros="0" zoomScale="124" zoomScaleNormal="124" workbookViewId="0">
      <selection activeCell="G9" sqref="G9"/>
    </sheetView>
  </sheetViews>
  <sheetFormatPr defaultColWidth="0" defaultRowHeight="0" customHeight="1" zeroHeight="1"/>
  <cols>
    <col min="1" max="1" width="5.140625" style="620" customWidth="1"/>
    <col min="2" max="2" width="56.7109375" style="1" customWidth="1"/>
    <col min="3" max="3" width="8" style="1" customWidth="1"/>
    <col min="4" max="4" width="6.85546875" style="1" customWidth="1"/>
    <col min="5" max="5" width="11.140625" style="20" customWidth="1"/>
    <col min="6" max="6" width="11.5703125" style="20" customWidth="1"/>
    <col min="7" max="7" width="9.140625" style="1" customWidth="1"/>
    <col min="8" max="16384" width="9.140625" style="1" hidden="1"/>
  </cols>
  <sheetData>
    <row r="1" spans="1:58" ht="18.75" customHeight="1">
      <c r="A1" s="594"/>
      <c r="B1" s="811">
        <v>6</v>
      </c>
      <c r="C1" s="811"/>
      <c r="D1" s="595"/>
      <c r="E1" s="595"/>
      <c r="F1" s="133" t="s">
        <v>696</v>
      </c>
    </row>
    <row r="2" spans="1:58" ht="14.25" customHeight="1">
      <c r="A2" s="595"/>
      <c r="B2" s="594"/>
      <c r="C2" s="595"/>
      <c r="D2" s="595"/>
      <c r="E2" s="595"/>
      <c r="F2" s="595"/>
    </row>
    <row r="3" spans="1:58" ht="14.25" customHeight="1">
      <c r="A3" s="596"/>
      <c r="B3" s="812" t="s">
        <v>189</v>
      </c>
      <c r="C3" s="812"/>
      <c r="D3" s="597"/>
      <c r="E3" s="597"/>
      <c r="F3" s="597"/>
    </row>
    <row r="4" spans="1:58" ht="14.25" customHeight="1">
      <c r="A4" s="598"/>
      <c r="B4" s="813" t="str">
        <f>'ТИП-ПРОИЗ'!$B$3:$C$3</f>
        <v>"Топлофикация- Перник" АД</v>
      </c>
      <c r="C4" s="813"/>
      <c r="D4" s="598"/>
      <c r="E4" s="598"/>
      <c r="F4" s="598"/>
    </row>
    <row r="5" spans="1:58" ht="14.25" customHeight="1" thickBot="1">
      <c r="A5" s="599"/>
      <c r="B5" s="600"/>
      <c r="C5" s="600"/>
      <c r="D5" s="600"/>
      <c r="E5" s="600"/>
      <c r="F5" s="600"/>
    </row>
    <row r="6" spans="1:58" ht="14.25" customHeight="1" thickTop="1" thickBot="1">
      <c r="A6" s="815" t="s">
        <v>0</v>
      </c>
      <c r="B6" s="817" t="s">
        <v>160</v>
      </c>
      <c r="C6" s="817" t="s">
        <v>42</v>
      </c>
      <c r="D6" s="817" t="s">
        <v>14</v>
      </c>
      <c r="E6" s="292" t="s">
        <v>341</v>
      </c>
      <c r="F6" s="293" t="s">
        <v>342</v>
      </c>
    </row>
    <row r="7" spans="1:58" ht="13.5" thickTop="1">
      <c r="A7" s="816"/>
      <c r="B7" s="818"/>
      <c r="C7" s="818"/>
      <c r="D7" s="818"/>
      <c r="E7" s="672" t="s">
        <v>777</v>
      </c>
      <c r="F7" s="672">
        <f>'ТИП-ПРОИЗ'!F6</f>
        <v>7.2016</v>
      </c>
    </row>
    <row r="8" spans="1:58" ht="13.5" customHeight="1">
      <c r="A8" s="601">
        <v>1</v>
      </c>
      <c r="B8" s="602">
        <v>2</v>
      </c>
      <c r="C8" s="602">
        <v>3</v>
      </c>
      <c r="D8" s="603">
        <v>4</v>
      </c>
      <c r="E8" s="602">
        <v>5</v>
      </c>
      <c r="F8" s="604">
        <v>6</v>
      </c>
      <c r="G8" s="605"/>
    </row>
    <row r="9" spans="1:58" ht="14.25" customHeight="1">
      <c r="A9" s="606">
        <v>1</v>
      </c>
      <c r="B9" s="607" t="s">
        <v>43</v>
      </c>
      <c r="C9" s="608" t="s">
        <v>44</v>
      </c>
      <c r="D9" s="583" t="s">
        <v>23</v>
      </c>
      <c r="E9" s="609">
        <v>1615623</v>
      </c>
      <c r="F9" s="684">
        <v>1712088</v>
      </c>
    </row>
    <row r="10" spans="1:58" ht="14.25" customHeight="1">
      <c r="A10" s="606">
        <v>2</v>
      </c>
      <c r="B10" s="607" t="s">
        <v>45</v>
      </c>
      <c r="C10" s="608" t="s">
        <v>217</v>
      </c>
      <c r="D10" s="583" t="s">
        <v>46</v>
      </c>
      <c r="E10" s="609">
        <v>3589</v>
      </c>
      <c r="F10" s="684">
        <v>3481.953488372093</v>
      </c>
    </row>
    <row r="11" spans="1:58" ht="14.25" customHeight="1">
      <c r="A11" s="606">
        <v>3</v>
      </c>
      <c r="B11" s="607" t="s">
        <v>47</v>
      </c>
      <c r="C11" s="608" t="s">
        <v>48</v>
      </c>
      <c r="D11" s="583" t="s">
        <v>23</v>
      </c>
      <c r="E11" s="611">
        <f>ROUND(E9*1.05,0)</f>
        <v>1696404</v>
      </c>
      <c r="F11" s="612">
        <f>ROUND(F9*1.05,0)</f>
        <v>1797692</v>
      </c>
    </row>
    <row r="12" spans="1:58" ht="14.25" customHeight="1">
      <c r="A12" s="606">
        <v>4</v>
      </c>
      <c r="B12" s="607" t="s">
        <v>49</v>
      </c>
      <c r="C12" s="608" t="s">
        <v>50</v>
      </c>
      <c r="D12" s="583" t="s">
        <v>51</v>
      </c>
      <c r="E12" s="613">
        <v>191</v>
      </c>
      <c r="F12" s="684">
        <v>163.5</v>
      </c>
    </row>
    <row r="13" spans="1:58" ht="14.25" customHeight="1">
      <c r="A13" s="606">
        <v>5</v>
      </c>
      <c r="B13" s="607" t="s">
        <v>52</v>
      </c>
      <c r="C13" s="608" t="s">
        <v>53</v>
      </c>
      <c r="D13" s="583" t="s">
        <v>46</v>
      </c>
      <c r="E13" s="613">
        <v>879.6</v>
      </c>
      <c r="F13" s="610">
        <f>SUM(F12,2)*3.6/0.86</f>
        <v>692.79069767441865</v>
      </c>
    </row>
    <row r="14" spans="1:58" ht="12.75" customHeight="1">
      <c r="A14" s="606">
        <v>6</v>
      </c>
      <c r="B14" s="607" t="s">
        <v>209</v>
      </c>
      <c r="C14" s="614" t="s">
        <v>224</v>
      </c>
      <c r="D14" s="583" t="s">
        <v>70</v>
      </c>
      <c r="E14" s="611">
        <f>IF(E9=0,0,(E9*E10-E11*E13)/3600)</f>
        <v>1196198.3301666668</v>
      </c>
      <c r="F14" s="612">
        <f>IF(F9=0,0,(F9*F10-F11*F13)/3600)</f>
        <v>1309996.2469767442</v>
      </c>
      <c r="H14" s="615"/>
      <c r="I14" s="615"/>
      <c r="J14" s="615"/>
      <c r="K14" s="615"/>
      <c r="L14" s="615"/>
      <c r="M14" s="615"/>
      <c r="N14" s="615"/>
      <c r="O14" s="615"/>
      <c r="P14" s="615"/>
      <c r="Q14" s="615"/>
      <c r="R14" s="615"/>
      <c r="S14" s="615"/>
      <c r="T14" s="615"/>
      <c r="U14" s="615"/>
      <c r="V14" s="615"/>
      <c r="W14" s="615"/>
      <c r="X14" s="615"/>
      <c r="Y14" s="615"/>
      <c r="Z14" s="615"/>
      <c r="AA14" s="615"/>
      <c r="AB14" s="615"/>
      <c r="AC14" s="615"/>
      <c r="AD14" s="615"/>
      <c r="AE14" s="615"/>
      <c r="AF14" s="615"/>
      <c r="AG14" s="615"/>
      <c r="AH14" s="615"/>
      <c r="AI14" s="615"/>
      <c r="AJ14" s="615"/>
      <c r="AK14" s="615"/>
      <c r="AL14" s="615"/>
      <c r="AM14" s="615"/>
      <c r="AN14" s="615"/>
      <c r="AO14" s="615"/>
      <c r="AP14" s="615"/>
      <c r="AQ14" s="615"/>
      <c r="AR14" s="615"/>
      <c r="AS14" s="615"/>
      <c r="AT14" s="615"/>
      <c r="AU14" s="615"/>
      <c r="AV14" s="615"/>
      <c r="AW14" s="615"/>
      <c r="AX14" s="615"/>
      <c r="AY14" s="615"/>
      <c r="AZ14" s="615"/>
      <c r="BA14" s="615"/>
      <c r="BB14" s="615"/>
      <c r="BC14" s="615"/>
      <c r="BD14" s="615"/>
      <c r="BE14" s="615"/>
      <c r="BF14" s="615"/>
    </row>
    <row r="15" spans="1:58" ht="12.75" customHeight="1">
      <c r="A15" s="606">
        <v>7</v>
      </c>
      <c r="B15" s="607" t="s">
        <v>421</v>
      </c>
      <c r="C15" s="61" t="s">
        <v>422</v>
      </c>
      <c r="D15" s="583" t="s">
        <v>7</v>
      </c>
      <c r="E15" s="675">
        <f>IF(E9=0,0,IF('[2]ТИП-ПРОИЗ'!E32=0,0,E14/'[2]ТИП-ПРОИЗ'!E32))</f>
        <v>0.76055557682447983</v>
      </c>
      <c r="F15" s="676">
        <f>IF(F9=0,0,IF('[2]ТИП-ПРОИЗ'!F32=0,0,F14/'[2]ТИП-ПРОИЗ'!F32))</f>
        <v>0.64160682660684731</v>
      </c>
      <c r="H15" s="615"/>
      <c r="I15" s="615"/>
      <c r="J15" s="615"/>
      <c r="K15" s="615"/>
      <c r="L15" s="615"/>
      <c r="M15" s="615"/>
      <c r="N15" s="615"/>
      <c r="O15" s="615"/>
      <c r="P15" s="615"/>
      <c r="Q15" s="615"/>
      <c r="R15" s="615"/>
      <c r="S15" s="615"/>
      <c r="T15" s="615"/>
      <c r="U15" s="615"/>
      <c r="V15" s="615"/>
      <c r="W15" s="615"/>
      <c r="X15" s="615"/>
      <c r="Y15" s="615"/>
      <c r="Z15" s="615"/>
      <c r="AA15" s="615"/>
      <c r="AB15" s="615"/>
      <c r="AC15" s="615"/>
      <c r="AD15" s="615"/>
      <c r="AE15" s="615"/>
      <c r="AF15" s="615"/>
      <c r="AG15" s="615"/>
      <c r="AH15" s="615"/>
      <c r="AI15" s="615"/>
      <c r="AJ15" s="615"/>
      <c r="AK15" s="615"/>
      <c r="AL15" s="615"/>
      <c r="AM15" s="615"/>
      <c r="AN15" s="615"/>
      <c r="AO15" s="615"/>
      <c r="AP15" s="615"/>
      <c r="AQ15" s="615"/>
      <c r="AR15" s="615"/>
      <c r="AS15" s="615"/>
      <c r="AT15" s="615"/>
      <c r="AU15" s="615"/>
      <c r="AV15" s="615"/>
      <c r="AW15" s="615"/>
      <c r="AX15" s="615"/>
      <c r="AY15" s="615"/>
      <c r="AZ15" s="615"/>
      <c r="BA15" s="615"/>
      <c r="BB15" s="615"/>
      <c r="BC15" s="615"/>
      <c r="BD15" s="615"/>
      <c r="BE15" s="615"/>
      <c r="BF15" s="615"/>
    </row>
    <row r="16" spans="1:58" ht="12.75" customHeight="1">
      <c r="A16" s="606">
        <v>8</v>
      </c>
      <c r="B16" s="616" t="s">
        <v>36</v>
      </c>
      <c r="C16" s="61" t="s">
        <v>738</v>
      </c>
      <c r="D16" s="583" t="s">
        <v>86</v>
      </c>
      <c r="E16" s="617">
        <v>0.98</v>
      </c>
      <c r="F16" s="618">
        <v>0.98</v>
      </c>
    </row>
    <row r="17" spans="1:7" ht="14.25">
      <c r="A17" s="606">
        <v>9</v>
      </c>
      <c r="B17" s="659" t="s">
        <v>739</v>
      </c>
      <c r="C17" s="660" t="s">
        <v>765</v>
      </c>
      <c r="D17" s="583" t="s">
        <v>7</v>
      </c>
      <c r="E17" s="619">
        <v>0.86</v>
      </c>
      <c r="F17" s="619">
        <v>0.86</v>
      </c>
      <c r="G17" s="654"/>
    </row>
    <row r="18" spans="1:7" ht="14.25">
      <c r="A18" s="606">
        <v>10</v>
      </c>
      <c r="B18" s="659" t="s">
        <v>740</v>
      </c>
      <c r="C18" s="660" t="s">
        <v>766</v>
      </c>
      <c r="D18" s="583" t="s">
        <v>7</v>
      </c>
      <c r="E18" s="619">
        <v>0.39400000000000002</v>
      </c>
      <c r="F18" s="619">
        <v>0.39400000000000002</v>
      </c>
      <c r="G18" s="654"/>
    </row>
    <row r="19" spans="1:7" ht="14.25">
      <c r="A19" s="606">
        <v>11</v>
      </c>
      <c r="B19" s="659" t="s">
        <v>397</v>
      </c>
      <c r="C19" s="661" t="s">
        <v>751</v>
      </c>
      <c r="D19" s="583" t="s">
        <v>7</v>
      </c>
      <c r="E19" s="591">
        <f>SUM(E20:E21)</f>
        <v>0.72280575787647106</v>
      </c>
      <c r="F19" s="593">
        <f>SUM(F20:F21)</f>
        <v>0.66025969471048662</v>
      </c>
    </row>
    <row r="20" spans="1:7" ht="14.25">
      <c r="A20" s="606">
        <v>12</v>
      </c>
      <c r="B20" s="659" t="s">
        <v>249</v>
      </c>
      <c r="C20" s="660" t="s">
        <v>767</v>
      </c>
      <c r="D20" s="583" t="s">
        <v>7</v>
      </c>
      <c r="E20" s="621">
        <f>IF('ТИП-ПРОИЗ'!E32=0,0,SUM('ТИП-ПРОИЗ'!E8,-'ТИП-ПРОИЗ'!E45)/'ТИП-ПРОИЗ'!E32)</f>
        <v>0.51338816001758802</v>
      </c>
      <c r="F20" s="592">
        <f>IF('ТИП-ПРОИЗ'!F32=0,0,SUM('ТИП-ПРОИЗ'!F8,-'ТИП-ПРОИЗ'!F45)/'ТИП-ПРОИЗ'!F32)</f>
        <v>0.4699610744514412</v>
      </c>
    </row>
    <row r="21" spans="1:7" ht="17.25" customHeight="1">
      <c r="A21" s="606">
        <v>13</v>
      </c>
      <c r="B21" s="659" t="s">
        <v>248</v>
      </c>
      <c r="C21" s="660" t="s">
        <v>768</v>
      </c>
      <c r="D21" s="583" t="s">
        <v>7</v>
      </c>
      <c r="E21" s="621">
        <f>IF('ТИП-ПРОИЗ'!E32=0,0,'ТИП-ПРОИЗ'!E27/'ТИП-ПРОИЗ'!E32)</f>
        <v>0.20941759785888298</v>
      </c>
      <c r="F21" s="592">
        <f>IF('ТИП-ПРОИЗ'!F32=0,0,'ТИП-ПРОИЗ'!F27/'ТИП-ПРОИЗ'!F32)</f>
        <v>0.19029862025904543</v>
      </c>
    </row>
    <row r="22" spans="1:7" ht="20.25" customHeight="1">
      <c r="A22" s="606">
        <v>21</v>
      </c>
      <c r="B22" s="662" t="s">
        <v>741</v>
      </c>
      <c r="C22" s="16" t="s">
        <v>744</v>
      </c>
      <c r="D22" s="583" t="s">
        <v>86</v>
      </c>
      <c r="E22" s="568">
        <f>IF(E18=0,0,IF(E17=0,0,IF(SUM(E21/E18,E20/E17)=0,0,(E21/E18)/SUM(E21/E18,E20/E17))))</f>
        <v>0.47100247810427698</v>
      </c>
      <c r="F22" s="569">
        <f>IF(F18=0,0,IF(F17=0,0,IF(SUM(F21/F18,F20/F17)=0,0,(F21/F18)/SUM(F21/F18,F20/F17))))</f>
        <v>0.46917069139338924</v>
      </c>
    </row>
    <row r="23" spans="1:7" ht="12.75">
      <c r="A23" s="606">
        <v>22</v>
      </c>
      <c r="B23" s="626" t="s">
        <v>742</v>
      </c>
      <c r="C23" s="622" t="s">
        <v>547</v>
      </c>
      <c r="D23" s="623" t="s">
        <v>70</v>
      </c>
      <c r="E23" s="624">
        <f>E22*'ТИП-ПРОИЗ'!E32</f>
        <v>633818.45035549859</v>
      </c>
      <c r="F23" s="625">
        <f>F22*'ТИП-ПРОИЗ'!F32</f>
        <v>754179.48013428075</v>
      </c>
    </row>
    <row r="24" spans="1:7" ht="15.75">
      <c r="A24" s="606">
        <v>23</v>
      </c>
      <c r="B24" s="570" t="s">
        <v>743</v>
      </c>
      <c r="C24" s="16" t="s">
        <v>745</v>
      </c>
      <c r="D24" s="583"/>
      <c r="E24" s="89">
        <f>IF(SUM('ТИП-ПРОИЗ'!E32,'ТИП-ПРОИЗ'!E49)=0,0,E23/'ТИП-ПРОИЗ'!E69)</f>
        <v>0.4710024780472985</v>
      </c>
      <c r="F24" s="505">
        <f>IF(SUM('ТИП-ПРОИЗ'!F32,'ТИП-ПРОИЗ'!F49)=0,0,F23/'ТИП-ПРОИЗ'!F69)</f>
        <v>0.46917069139338929</v>
      </c>
    </row>
    <row r="25" spans="1:7" ht="14.25">
      <c r="A25" s="606">
        <v>24</v>
      </c>
      <c r="B25" s="78" t="s">
        <v>399</v>
      </c>
      <c r="C25" s="61" t="s">
        <v>326</v>
      </c>
      <c r="D25" s="61" t="s">
        <v>383</v>
      </c>
      <c r="E25" s="80">
        <f>'ТИП-ПРОИЗ'!E27*'ТИП-ПРОИЗ'!E42/1000</f>
        <v>77869.462879999992</v>
      </c>
      <c r="F25" s="506">
        <f>'ТИП-ПРОИЗ'!F27*'ТИП-ПРОИЗ'!F42/1000</f>
        <v>92657.11</v>
      </c>
      <c r="G25" s="88"/>
    </row>
    <row r="26" spans="1:7" ht="14.25">
      <c r="A26" s="606">
        <v>25</v>
      </c>
      <c r="B26" s="78" t="s">
        <v>398</v>
      </c>
      <c r="C26" s="61" t="s">
        <v>331</v>
      </c>
      <c r="D26" s="61" t="s">
        <v>383</v>
      </c>
      <c r="E26" s="86">
        <f>SUM('ТИП-ПРОИЗ'!E68,-E25)</f>
        <v>87456.894262857139</v>
      </c>
      <c r="F26" s="507">
        <f>SUM('ТИП-ПРОИЗ'!F68,-F25)</f>
        <v>104832.49843142855</v>
      </c>
      <c r="G26" s="88"/>
    </row>
    <row r="27" spans="1:7" ht="15.75">
      <c r="A27" s="606">
        <v>26</v>
      </c>
      <c r="B27" s="78" t="s">
        <v>733</v>
      </c>
      <c r="C27" s="16" t="s">
        <v>734</v>
      </c>
      <c r="D27" s="16" t="s">
        <v>86</v>
      </c>
      <c r="E27" s="508">
        <f>IF(SUM('ТИП-ПРОИЗ'!E8,'ТИП-ПРОИЗ'!E27)=0,0,'ТИП-ПРОИЗ'!E27/SUM('ТИП-ПРОИЗ'!E8,'ТИП-ПРОИЗ'!E27))</f>
        <v>0.28983064269795117</v>
      </c>
      <c r="F27" s="509">
        <f>IF(SUM('ТИП-ПРОИЗ'!F8,'ТИП-ПРОИЗ'!F27)=0,0,'ТИП-ПРОИЗ'!F27/SUM('ТИП-ПРОИЗ'!F8,'ТИП-ПРОИЗ'!F27))</f>
        <v>0.288217835775192</v>
      </c>
      <c r="G27" s="88"/>
    </row>
    <row r="28" spans="1:7" s="630" customFormat="1" ht="14.25" customHeight="1">
      <c r="A28" s="606">
        <v>27</v>
      </c>
      <c r="B28" s="627" t="s">
        <v>689</v>
      </c>
      <c r="C28" s="628" t="s">
        <v>81</v>
      </c>
      <c r="D28" s="629" t="s">
        <v>23</v>
      </c>
      <c r="E28" s="613">
        <v>1610017</v>
      </c>
      <c r="F28" s="684">
        <v>1707596.0154966132</v>
      </c>
    </row>
    <row r="29" spans="1:7" s="630" customFormat="1" ht="14.25" customHeight="1">
      <c r="A29" s="606">
        <v>28</v>
      </c>
      <c r="B29" s="627" t="s">
        <v>690</v>
      </c>
      <c r="C29" s="628" t="s">
        <v>218</v>
      </c>
      <c r="D29" s="629" t="s">
        <v>46</v>
      </c>
      <c r="E29" s="613">
        <v>3446</v>
      </c>
      <c r="F29" s="610">
        <f>F10*0.98</f>
        <v>3412.3144186046511</v>
      </c>
    </row>
    <row r="30" spans="1:7" s="630" customFormat="1" ht="14.25" customHeight="1">
      <c r="A30" s="606">
        <v>29</v>
      </c>
      <c r="B30" s="627" t="s">
        <v>210</v>
      </c>
      <c r="C30" s="628" t="s">
        <v>81</v>
      </c>
      <c r="D30" s="629" t="s">
        <v>23</v>
      </c>
      <c r="E30" s="613">
        <v>324900</v>
      </c>
      <c r="F30" s="689">
        <v>613302.85714285716</v>
      </c>
    </row>
    <row r="31" spans="1:7" s="630" customFormat="1" ht="14.25" customHeight="1">
      <c r="A31" s="606">
        <v>30</v>
      </c>
      <c r="B31" s="627" t="s">
        <v>211</v>
      </c>
      <c r="C31" s="628" t="s">
        <v>218</v>
      </c>
      <c r="D31" s="629" t="s">
        <v>46</v>
      </c>
      <c r="E31" s="613">
        <v>3100</v>
      </c>
      <c r="F31" s="610">
        <v>3035</v>
      </c>
    </row>
    <row r="32" spans="1:7" s="630" customFormat="1" ht="14.25" customHeight="1">
      <c r="A32" s="606">
        <v>31</v>
      </c>
      <c r="B32" s="631" t="s">
        <v>54</v>
      </c>
      <c r="C32" s="628" t="s">
        <v>55</v>
      </c>
      <c r="D32" s="629" t="s">
        <v>23</v>
      </c>
      <c r="E32" s="632">
        <f>SUM(E9,-E28)</f>
        <v>5606</v>
      </c>
      <c r="F32" s="612">
        <f>SUM(F9,-F28)</f>
        <v>4491.984503386775</v>
      </c>
    </row>
    <row r="33" spans="1:7" s="630" customFormat="1" ht="14.25" customHeight="1">
      <c r="A33" s="606">
        <v>32</v>
      </c>
      <c r="B33" s="633" t="s">
        <v>56</v>
      </c>
      <c r="C33" s="628" t="s">
        <v>219</v>
      </c>
      <c r="D33" s="629" t="s">
        <v>46</v>
      </c>
      <c r="E33" s="613">
        <v>3100</v>
      </c>
      <c r="F33" s="610">
        <v>3035</v>
      </c>
    </row>
    <row r="34" spans="1:7" ht="12.75" customHeight="1">
      <c r="A34" s="606">
        <v>33</v>
      </c>
      <c r="B34" s="633" t="s">
        <v>78</v>
      </c>
      <c r="C34" s="608"/>
      <c r="D34" s="583" t="s">
        <v>70</v>
      </c>
      <c r="E34" s="632">
        <f>SUM(E35:E36)</f>
        <v>948</v>
      </c>
      <c r="F34" s="612">
        <f>SUM(F35:F36)</f>
        <v>3500</v>
      </c>
    </row>
    <row r="35" spans="1:7" ht="12.75" customHeight="1">
      <c r="A35" s="606" t="s">
        <v>749</v>
      </c>
      <c r="B35" s="634" t="s">
        <v>212</v>
      </c>
      <c r="C35" s="608"/>
      <c r="D35" s="583" t="s">
        <v>70</v>
      </c>
      <c r="E35" s="613">
        <v>948</v>
      </c>
      <c r="F35" s="610">
        <v>3500</v>
      </c>
    </row>
    <row r="36" spans="1:7" ht="12.75" customHeight="1">
      <c r="A36" s="606" t="s">
        <v>750</v>
      </c>
      <c r="B36" s="634" t="s">
        <v>213</v>
      </c>
      <c r="C36" s="608"/>
      <c r="D36" s="583" t="s">
        <v>70</v>
      </c>
      <c r="E36" s="613"/>
      <c r="F36" s="610"/>
    </row>
    <row r="37" spans="1:7" ht="14.25" customHeight="1">
      <c r="A37" s="606">
        <v>34</v>
      </c>
      <c r="B37" s="633" t="s">
        <v>57</v>
      </c>
      <c r="C37" s="608" t="s">
        <v>58</v>
      </c>
      <c r="D37" s="583" t="s">
        <v>23</v>
      </c>
      <c r="E37" s="613"/>
      <c r="F37" s="610"/>
    </row>
    <row r="38" spans="1:7" ht="14.25" customHeight="1">
      <c r="A38" s="606">
        <v>35</v>
      </c>
      <c r="B38" s="633" t="s">
        <v>59</v>
      </c>
      <c r="C38" s="608" t="s">
        <v>220</v>
      </c>
      <c r="D38" s="583" t="s">
        <v>46</v>
      </c>
      <c r="E38" s="613"/>
      <c r="F38" s="610"/>
    </row>
    <row r="39" spans="1:7" ht="14.25" customHeight="1">
      <c r="A39" s="606">
        <v>36</v>
      </c>
      <c r="B39" s="633" t="s">
        <v>730</v>
      </c>
      <c r="C39" s="608" t="s">
        <v>729</v>
      </c>
      <c r="D39" s="583"/>
      <c r="E39" s="635">
        <f>IF(E37=0,0,'ТИП-ПРОИЗ'!E47/Коефициенти!E37*3600)</f>
        <v>0</v>
      </c>
      <c r="F39" s="636">
        <f>IF(F37=0,0,'ТИП-ПРОИЗ'!F47/Коефициенти!F37*3600)</f>
        <v>0</v>
      </c>
    </row>
    <row r="40" spans="1:7" ht="14.25" customHeight="1">
      <c r="A40" s="606">
        <v>37</v>
      </c>
      <c r="B40" s="633" t="s">
        <v>727</v>
      </c>
      <c r="C40" s="608" t="s">
        <v>50</v>
      </c>
      <c r="D40" s="583" t="s">
        <v>728</v>
      </c>
      <c r="E40" s="635">
        <f>SUM(E38,-E39)/3600*860</f>
        <v>0</v>
      </c>
      <c r="F40" s="636">
        <f>SUM(F38,-F39)/3600*860</f>
        <v>0</v>
      </c>
    </row>
    <row r="41" spans="1:7" ht="14.25" customHeight="1">
      <c r="A41" s="606">
        <v>38</v>
      </c>
      <c r="B41" s="631" t="s">
        <v>60</v>
      </c>
      <c r="C41" s="614" t="s">
        <v>61</v>
      </c>
      <c r="D41" s="583" t="s">
        <v>23</v>
      </c>
      <c r="E41" s="609"/>
      <c r="F41" s="610"/>
    </row>
    <row r="42" spans="1:7" ht="14.25" customHeight="1">
      <c r="A42" s="606">
        <v>39</v>
      </c>
      <c r="B42" s="637" t="s">
        <v>62</v>
      </c>
      <c r="C42" s="608" t="s">
        <v>221</v>
      </c>
      <c r="D42" s="583" t="s">
        <v>46</v>
      </c>
      <c r="E42" s="609"/>
      <c r="F42" s="610"/>
    </row>
    <row r="43" spans="1:7" ht="14.25" customHeight="1">
      <c r="A43" s="606">
        <v>40</v>
      </c>
      <c r="B43" s="631" t="s">
        <v>82</v>
      </c>
      <c r="C43" s="614" t="s">
        <v>63</v>
      </c>
      <c r="D43" s="629" t="s">
        <v>23</v>
      </c>
      <c r="E43" s="609">
        <v>319155</v>
      </c>
      <c r="F43" s="684">
        <v>332000</v>
      </c>
    </row>
    <row r="44" spans="1:7" ht="14.25" customHeight="1">
      <c r="A44" s="606">
        <v>41</v>
      </c>
      <c r="B44" s="631" t="s">
        <v>64</v>
      </c>
      <c r="C44" s="614" t="s">
        <v>222</v>
      </c>
      <c r="D44" s="583" t="s">
        <v>46</v>
      </c>
      <c r="E44" s="609">
        <v>48</v>
      </c>
      <c r="F44" s="610">
        <v>42</v>
      </c>
    </row>
    <row r="45" spans="1:7" ht="14.25" customHeight="1">
      <c r="A45" s="606">
        <v>42</v>
      </c>
      <c r="B45" s="633" t="s">
        <v>65</v>
      </c>
      <c r="C45" s="608" t="s">
        <v>66</v>
      </c>
      <c r="D45" s="583" t="s">
        <v>423</v>
      </c>
      <c r="E45" s="609">
        <v>17652060</v>
      </c>
      <c r="F45" s="610">
        <v>17300000</v>
      </c>
    </row>
    <row r="46" spans="1:7" ht="14.25" customHeight="1">
      <c r="A46" s="606">
        <v>43</v>
      </c>
      <c r="B46" s="633" t="s">
        <v>67</v>
      </c>
      <c r="C46" s="608" t="s">
        <v>66</v>
      </c>
      <c r="D46" s="583" t="s">
        <v>423</v>
      </c>
      <c r="E46" s="609">
        <v>353846</v>
      </c>
      <c r="F46" s="684">
        <v>219350</v>
      </c>
    </row>
    <row r="47" spans="1:7" ht="14.25" customHeight="1">
      <c r="A47" s="606">
        <v>44</v>
      </c>
      <c r="B47" s="631" t="s">
        <v>68</v>
      </c>
      <c r="C47" s="608" t="s">
        <v>69</v>
      </c>
      <c r="D47" s="583" t="s">
        <v>70</v>
      </c>
      <c r="E47" s="609"/>
      <c r="F47" s="684">
        <v>25505</v>
      </c>
      <c r="G47" s="654"/>
    </row>
    <row r="48" spans="1:7" ht="14.25" customHeight="1">
      <c r="A48" s="606">
        <v>45</v>
      </c>
      <c r="B48" s="631" t="s">
        <v>200</v>
      </c>
      <c r="C48" s="608"/>
      <c r="D48" s="638" t="s">
        <v>3</v>
      </c>
      <c r="E48" s="639">
        <f>ROUND(Разходи!D63*E22,5)</f>
        <v>13595.97732</v>
      </c>
      <c r="F48" s="640">
        <f>ROUND(Разходи!G63*F22,5)</f>
        <v>17832.667990000002</v>
      </c>
    </row>
    <row r="49" spans="1:7" ht="14.25" customHeight="1">
      <c r="A49" s="606">
        <v>46</v>
      </c>
      <c r="B49" s="631" t="s">
        <v>201</v>
      </c>
      <c r="C49" s="608"/>
      <c r="D49" s="583" t="s">
        <v>204</v>
      </c>
      <c r="E49" s="641">
        <f>IF('ТИП-ПРОИЗ'!E27=0,0,ROUND(E48/'ТИП-ПРОИЗ'!E27*1000,2))</f>
        <v>48.25</v>
      </c>
      <c r="F49" s="642">
        <f>IF('ТИП-ПРОИЗ'!F27=0,0,ROUND(F48/'ТИП-ПРОИЗ'!F27*1000,2))</f>
        <v>58.3</v>
      </c>
    </row>
    <row r="50" spans="1:7" ht="14.25" customHeight="1">
      <c r="A50" s="606">
        <v>47</v>
      </c>
      <c r="B50" s="631" t="s">
        <v>202</v>
      </c>
      <c r="C50" s="608"/>
      <c r="D50" s="638" t="s">
        <v>3</v>
      </c>
      <c r="E50" s="611">
        <f>ROUND(SUM(Разходи!D63,Разходи!D69,-E48),5)</f>
        <v>15270.064679999999</v>
      </c>
      <c r="F50" s="612">
        <f>ROUND(SUM(Разходи!G63,Разходи!G69,-F48),5)</f>
        <v>20176.245009999999</v>
      </c>
    </row>
    <row r="51" spans="1:7" ht="14.25" customHeight="1">
      <c r="A51" s="606">
        <v>48</v>
      </c>
      <c r="B51" s="631" t="s">
        <v>688</v>
      </c>
      <c r="C51" s="608"/>
      <c r="D51" s="583" t="s">
        <v>204</v>
      </c>
      <c r="E51" s="643">
        <f>IF('ТИП-ПРОИЗ'!E8=0,0,ROUND(E50*1000/'ТИП-ПРОИЗ'!E8,2))</f>
        <v>22.11</v>
      </c>
      <c r="F51" s="644">
        <f>IF('ТИП-ПРОИЗ'!F8=0,0,ROUND(F50*1000/'ТИП-ПРОИЗ'!F8,2))</f>
        <v>26.71</v>
      </c>
      <c r="G51" s="1">
        <f>IF('ТИП-ПРОИЗ'!G8=0,0,ROUND(G50*1000/'ТИП-ПРОИЗ'!G8,2))</f>
        <v>0</v>
      </c>
    </row>
    <row r="52" spans="1:7" ht="14.25" customHeight="1">
      <c r="A52" s="606">
        <v>49</v>
      </c>
      <c r="B52" s="631" t="s">
        <v>195</v>
      </c>
      <c r="C52" s="608"/>
      <c r="D52" s="638" t="s">
        <v>3</v>
      </c>
      <c r="E52" s="611">
        <f>ROUND(E50-E53,5)</f>
        <v>6563.5446599999996</v>
      </c>
      <c r="F52" s="612">
        <f>ROUND(F50-F53,5)</f>
        <v>9513.6130099999991</v>
      </c>
    </row>
    <row r="53" spans="1:7" ht="14.25" customHeight="1">
      <c r="A53" s="606">
        <v>50</v>
      </c>
      <c r="B53" s="631" t="s">
        <v>194</v>
      </c>
      <c r="C53" s="608"/>
      <c r="D53" s="638" t="s">
        <v>3</v>
      </c>
      <c r="E53" s="611">
        <f>ROUND(E51*'ТИП-ПРОИЗ'!E10/1000,5)</f>
        <v>8706.5200199999999</v>
      </c>
      <c r="F53" s="612">
        <f>ROUND(F51*'ТИП-ПРОИЗ'!F10/1000,5)</f>
        <v>10662.632</v>
      </c>
    </row>
    <row r="54" spans="1:7" ht="14.25" customHeight="1" thickBot="1">
      <c r="A54" s="645">
        <v>51</v>
      </c>
      <c r="B54" s="646" t="s">
        <v>228</v>
      </c>
      <c r="C54" s="647" t="s">
        <v>424</v>
      </c>
      <c r="D54" s="648" t="s">
        <v>86</v>
      </c>
      <c r="E54" s="649">
        <f>ROUND(IF(E50=0,0,E52/E50),4)</f>
        <v>0.42980000000000002</v>
      </c>
      <c r="F54" s="650">
        <f>ROUND(IF(F50=0,0,F52/F50),4)</f>
        <v>0.47149999999999997</v>
      </c>
    </row>
    <row r="55" spans="1:7" ht="14.25" customHeight="1" thickTop="1"/>
    <row r="56" spans="1:7" ht="14.25" customHeight="1"/>
    <row r="57" spans="1:7" ht="14.25" customHeight="1"/>
    <row r="58" spans="1:7" ht="14.25" customHeight="1"/>
    <row r="59" spans="1:7" ht="15.75">
      <c r="A59" s="1" t="str">
        <f>Разходи!$A$91</f>
        <v>Гл. счетоводител:</v>
      </c>
      <c r="B59" s="651"/>
      <c r="D59" s="652" t="str">
        <f>Разходи!$E$91</f>
        <v>Изп. директор:</v>
      </c>
      <c r="E59" s="653"/>
      <c r="F59" s="653"/>
      <c r="G59" s="654"/>
    </row>
    <row r="60" spans="1:7" ht="12.75">
      <c r="A60" s="1"/>
      <c r="B60" s="655" t="str">
        <f>Разходи!$B$93</f>
        <v>/ Л. Джамбазка /</v>
      </c>
      <c r="D60" s="654"/>
      <c r="E60" s="814" t="str">
        <f>Разходи!$F$93</f>
        <v>/Ст. Йорданов/</v>
      </c>
      <c r="F60" s="814"/>
      <c r="G60" s="814"/>
    </row>
    <row r="61" spans="1:7" ht="14.25" customHeight="1">
      <c r="B61" s="630"/>
      <c r="C61" s="630"/>
      <c r="D61" s="630"/>
      <c r="E61" s="656"/>
      <c r="F61" s="656"/>
    </row>
    <row r="62" spans="1:7" ht="14.25" customHeight="1">
      <c r="B62" s="630"/>
      <c r="C62" s="630"/>
      <c r="D62" s="630"/>
      <c r="E62" s="657"/>
      <c r="F62" s="657"/>
    </row>
    <row r="63" spans="1:7" ht="14.25" customHeight="1">
      <c r="E63" s="658"/>
      <c r="F63" s="658"/>
    </row>
    <row r="64" spans="1:7" ht="14.25" customHeight="1"/>
    <row r="65" spans="1:4" ht="14.25" customHeight="1"/>
    <row r="66" spans="1:4" ht="14.25" customHeight="1">
      <c r="A66" s="1"/>
    </row>
    <row r="67" spans="1:4" ht="12.75">
      <c r="A67" s="1"/>
    </row>
    <row r="68" spans="1:4" ht="12.75">
      <c r="A68" s="1"/>
    </row>
    <row r="69" spans="1:4" ht="12.75">
      <c r="A69" s="79"/>
      <c r="D69" s="20"/>
    </row>
    <row r="70" spans="1:4" ht="12.75">
      <c r="A70" s="79"/>
      <c r="D70" s="20"/>
    </row>
    <row r="71" spans="1:4" ht="12.75">
      <c r="A71" s="79"/>
      <c r="D71" s="20"/>
    </row>
    <row r="72" spans="1:4" ht="14.25" customHeight="1"/>
    <row r="73" spans="1:4" ht="14.25" customHeight="1"/>
    <row r="74" spans="1:4" ht="14.25" customHeight="1"/>
    <row r="75" spans="1:4" ht="14.25" customHeight="1"/>
    <row r="76" spans="1:4" ht="14.25" customHeight="1"/>
    <row r="77" spans="1:4" ht="14.25" customHeight="1"/>
    <row r="78" spans="1:4" ht="14.25" customHeight="1"/>
    <row r="79" spans="1:4" ht="14.25" customHeight="1"/>
    <row r="80" spans="1:4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</sheetData>
  <mergeCells count="8">
    <mergeCell ref="B1:C1"/>
    <mergeCell ref="B3:C3"/>
    <mergeCell ref="B4:C4"/>
    <mergeCell ref="E60:G60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 F13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8"/>
  <sheetViews>
    <sheetView showZeros="0" topLeftCell="A25" workbookViewId="0">
      <selection activeCell="H79" sqref="H79"/>
    </sheetView>
  </sheetViews>
  <sheetFormatPr defaultColWidth="0" defaultRowHeight="12.75" zeroHeight="1"/>
  <cols>
    <col min="1" max="1" width="3.7109375" style="132" customWidth="1"/>
    <col min="2" max="2" width="27.7109375" style="132" customWidth="1"/>
    <col min="3" max="3" width="8.7109375" style="132" customWidth="1"/>
    <col min="4" max="4" width="9.5703125" style="132" customWidth="1"/>
    <col min="5" max="12" width="8.7109375" style="132" customWidth="1"/>
    <col min="13" max="18" width="0" style="132" hidden="1" customWidth="1"/>
    <col min="19" max="19" width="10.7109375" style="132" hidden="1" customWidth="1"/>
    <col min="20" max="16384" width="0" style="132" hidden="1"/>
  </cols>
  <sheetData>
    <row r="1" spans="1:12" ht="12.75" customHeight="1">
      <c r="A1" s="152">
        <v>1</v>
      </c>
      <c r="B1" s="834" t="s">
        <v>612</v>
      </c>
      <c r="C1" s="834"/>
      <c r="D1" s="834"/>
      <c r="E1" s="834"/>
      <c r="F1" s="834"/>
      <c r="G1" s="834"/>
      <c r="H1" s="834"/>
      <c r="I1" s="834"/>
      <c r="J1" s="513"/>
      <c r="K1" s="133" t="s">
        <v>709</v>
      </c>
    </row>
    <row r="2" spans="1:12" ht="12.75" customHeight="1">
      <c r="B2" s="834" t="str">
        <f>'ТИП-ПРОИЗ'!$B$3</f>
        <v>"Топлофикация- Перник" АД</v>
      </c>
      <c r="C2" s="834"/>
      <c r="D2" s="834"/>
      <c r="E2" s="834"/>
      <c r="F2" s="834"/>
      <c r="G2" s="834"/>
      <c r="H2" s="834"/>
      <c r="I2" s="834"/>
      <c r="J2" s="513"/>
      <c r="K2" s="513"/>
    </row>
    <row r="3" spans="1:12"/>
    <row r="4" spans="1:12">
      <c r="A4" s="153" t="s">
        <v>0</v>
      </c>
      <c r="B4" s="154" t="s">
        <v>396</v>
      </c>
      <c r="C4" s="153" t="s">
        <v>389</v>
      </c>
      <c r="D4" s="832">
        <f>IF(D6=0,0,(D6/D8-D7)*860/D6)</f>
        <v>0</v>
      </c>
      <c r="E4" s="832"/>
      <c r="F4" s="832"/>
      <c r="G4" s="832"/>
      <c r="H4" s="832"/>
      <c r="I4" s="832"/>
      <c r="J4" s="832"/>
      <c r="K4" s="832"/>
    </row>
    <row r="5" spans="1:12">
      <c r="A5" s="144">
        <v>1</v>
      </c>
      <c r="B5" s="144" t="s">
        <v>471</v>
      </c>
      <c r="C5" s="107"/>
      <c r="D5" s="107" t="s">
        <v>152</v>
      </c>
      <c r="E5" s="107" t="s">
        <v>240</v>
      </c>
      <c r="F5" s="107" t="s">
        <v>241</v>
      </c>
      <c r="G5" s="107" t="s">
        <v>242</v>
      </c>
      <c r="H5" s="107" t="s">
        <v>243</v>
      </c>
      <c r="I5" s="107" t="s">
        <v>244</v>
      </c>
      <c r="J5" s="107" t="s">
        <v>245</v>
      </c>
      <c r="K5" s="107" t="s">
        <v>454</v>
      </c>
    </row>
    <row r="6" spans="1:12">
      <c r="A6" s="107" t="s">
        <v>262</v>
      </c>
      <c r="B6" s="155" t="s">
        <v>674</v>
      </c>
      <c r="C6" s="107" t="s">
        <v>247</v>
      </c>
      <c r="D6" s="156">
        <f>SUM(E6:K6)</f>
        <v>0</v>
      </c>
      <c r="E6" s="66"/>
      <c r="F6" s="66"/>
      <c r="G6" s="66"/>
      <c r="H6" s="66"/>
      <c r="I6" s="66"/>
      <c r="J6" s="66"/>
      <c r="K6" s="66"/>
    </row>
    <row r="7" spans="1:12">
      <c r="A7" s="107" t="s">
        <v>263</v>
      </c>
      <c r="B7" s="155" t="s">
        <v>163</v>
      </c>
      <c r="C7" s="107" t="s">
        <v>246</v>
      </c>
      <c r="D7" s="156">
        <f>SUM(E7:K7)</f>
        <v>0</v>
      </c>
      <c r="E7" s="66"/>
      <c r="F7" s="66"/>
      <c r="G7" s="66"/>
      <c r="H7" s="66"/>
      <c r="I7" s="66"/>
      <c r="J7" s="66"/>
      <c r="K7" s="66"/>
    </row>
    <row r="8" spans="1:12">
      <c r="A8" s="107" t="s">
        <v>264</v>
      </c>
      <c r="B8" s="155" t="s">
        <v>248</v>
      </c>
      <c r="C8" s="107" t="s">
        <v>7</v>
      </c>
      <c r="D8" s="157">
        <f>IF(D6=0,0,SUMPRODUCT(E8:K8,E6:K6)/D6)</f>
        <v>0</v>
      </c>
      <c r="E8" s="67"/>
      <c r="F8" s="67"/>
      <c r="G8" s="67"/>
      <c r="H8" s="67"/>
      <c r="I8" s="67"/>
      <c r="J8" s="67"/>
      <c r="K8" s="67"/>
    </row>
    <row r="9" spans="1:12">
      <c r="A9" s="107" t="s">
        <v>265</v>
      </c>
      <c r="B9" s="155" t="s">
        <v>249</v>
      </c>
      <c r="C9" s="107" t="s">
        <v>7</v>
      </c>
      <c r="D9" s="157">
        <f>IF(D7=0,0,SUMPRODUCT(E9:K9,E7:K7)/D7)</f>
        <v>0</v>
      </c>
      <c r="E9" s="67"/>
      <c r="F9" s="67"/>
      <c r="G9" s="67"/>
      <c r="H9" s="67"/>
      <c r="I9" s="67"/>
      <c r="J9" s="67"/>
      <c r="K9" s="67"/>
    </row>
    <row r="10" spans="1:12">
      <c r="A10" s="107" t="s">
        <v>266</v>
      </c>
      <c r="B10" s="155" t="s">
        <v>397</v>
      </c>
      <c r="C10" s="107" t="s">
        <v>7</v>
      </c>
      <c r="D10" s="158">
        <f>SUM(D8:D9)</f>
        <v>0</v>
      </c>
      <c r="E10" s="158">
        <f t="shared" ref="E10:J10" si="0">SUM(E8:E9)</f>
        <v>0</v>
      </c>
      <c r="F10" s="158">
        <f t="shared" si="0"/>
        <v>0</v>
      </c>
      <c r="G10" s="158">
        <f t="shared" si="0"/>
        <v>0</v>
      </c>
      <c r="H10" s="158">
        <f t="shared" si="0"/>
        <v>0</v>
      </c>
      <c r="I10" s="158">
        <f t="shared" si="0"/>
        <v>0</v>
      </c>
      <c r="J10" s="158">
        <f t="shared" si="0"/>
        <v>0</v>
      </c>
      <c r="K10" s="158">
        <f>SUM(K8:K9)</f>
        <v>0</v>
      </c>
    </row>
    <row r="11" spans="1:12"/>
    <row r="12" spans="1:12">
      <c r="B12" s="833" t="s">
        <v>470</v>
      </c>
      <c r="C12" s="833"/>
      <c r="D12" s="833"/>
      <c r="E12" s="833"/>
      <c r="F12" s="833"/>
      <c r="G12" s="833"/>
      <c r="H12" s="833"/>
      <c r="I12" s="833"/>
      <c r="J12" s="833"/>
      <c r="K12" s="833"/>
    </row>
    <row r="13" spans="1:12"/>
    <row r="14" spans="1:12">
      <c r="A14" s="153" t="s">
        <v>0</v>
      </c>
      <c r="B14" s="144" t="s">
        <v>471</v>
      </c>
      <c r="C14" s="153" t="s">
        <v>389</v>
      </c>
      <c r="D14" s="823">
        <f>IF(D16=0,0,IF(D29=0,SUM(D16/D17,D26,D37/D39,-D22,-D42,-D43)*860/SUM(D16,D41),SUM(D16/D17,D26,-D30,-D31)*860/SUM(D16,D29)))</f>
        <v>0</v>
      </c>
      <c r="E14" s="824"/>
      <c r="F14" s="824"/>
      <c r="G14" s="824"/>
      <c r="H14" s="825"/>
      <c r="I14" s="820">
        <f>IF(I16=0,0,SUM(I16/I17,I26,-I19)*860/I16)</f>
        <v>0</v>
      </c>
      <c r="J14" s="821"/>
      <c r="K14" s="822"/>
    </row>
    <row r="15" spans="1:12">
      <c r="A15" s="144">
        <v>2</v>
      </c>
      <c r="B15" s="476" t="s">
        <v>469</v>
      </c>
      <c r="C15" s="107"/>
      <c r="D15" s="418" t="s">
        <v>152</v>
      </c>
      <c r="E15" s="107" t="s">
        <v>275</v>
      </c>
      <c r="F15" s="107"/>
      <c r="G15" s="107"/>
      <c r="H15" s="107"/>
      <c r="I15" s="477" t="s">
        <v>152</v>
      </c>
      <c r="J15" s="107" t="s">
        <v>275</v>
      </c>
      <c r="K15" s="107" t="s">
        <v>276</v>
      </c>
      <c r="L15" s="68"/>
    </row>
    <row r="16" spans="1:12">
      <c r="A16" s="107" t="s">
        <v>278</v>
      </c>
      <c r="B16" s="155" t="s">
        <v>675</v>
      </c>
      <c r="C16" s="107" t="s">
        <v>247</v>
      </c>
      <c r="D16" s="478">
        <f>SUM(E16:H16)</f>
        <v>0</v>
      </c>
      <c r="E16" s="479"/>
      <c r="F16" s="479"/>
      <c r="G16" s="479"/>
      <c r="H16" s="479"/>
      <c r="I16" s="478">
        <f>SUM(J16:K16)</f>
        <v>0</v>
      </c>
      <c r="J16" s="479"/>
      <c r="K16" s="479"/>
      <c r="L16" s="68"/>
    </row>
    <row r="17" spans="1:12">
      <c r="A17" s="107" t="s">
        <v>279</v>
      </c>
      <c r="B17" s="155" t="s">
        <v>277</v>
      </c>
      <c r="C17" s="107" t="s">
        <v>7</v>
      </c>
      <c r="D17" s="157">
        <f>IF(D16=0,0,SUMPRODUCT(E16:H16,E17:H17)/D16)</f>
        <v>0</v>
      </c>
      <c r="E17" s="67"/>
      <c r="F17" s="67"/>
      <c r="G17" s="67"/>
      <c r="H17" s="67"/>
      <c r="I17" s="157">
        <f>IF(I16=0,0,SUMPRODUCT(J16:K16,J17:K17)/I16)</f>
        <v>0</v>
      </c>
      <c r="J17" s="67"/>
      <c r="K17" s="67"/>
      <c r="L17" s="68"/>
    </row>
    <row r="18" spans="1:12">
      <c r="A18" s="144">
        <v>3</v>
      </c>
      <c r="B18" s="155" t="s">
        <v>664</v>
      </c>
      <c r="C18" s="107"/>
      <c r="D18" s="157"/>
      <c r="E18" s="480" t="s">
        <v>662</v>
      </c>
      <c r="F18" s="480"/>
      <c r="G18" s="480"/>
      <c r="H18" s="480"/>
      <c r="I18" s="157"/>
      <c r="J18" s="480" t="s">
        <v>662</v>
      </c>
      <c r="K18" s="480" t="s">
        <v>663</v>
      </c>
      <c r="L18" s="68"/>
    </row>
    <row r="19" spans="1:12">
      <c r="A19" s="107" t="s">
        <v>267</v>
      </c>
      <c r="B19" s="155" t="s">
        <v>452</v>
      </c>
      <c r="C19" s="107" t="s">
        <v>246</v>
      </c>
      <c r="D19" s="478">
        <f>SUM(E19:H19)</f>
        <v>0</v>
      </c>
      <c r="E19" s="481">
        <f>SUM(E20:E22)</f>
        <v>0</v>
      </c>
      <c r="F19" s="481">
        <f>SUM(F20:F22)</f>
        <v>0</v>
      </c>
      <c r="G19" s="481">
        <f>SUM(G20:G22)</f>
        <v>0</v>
      </c>
      <c r="H19" s="481">
        <f>SUM(H20:H22)</f>
        <v>0</v>
      </c>
      <c r="I19" s="478">
        <f>SUM(J19:K19)</f>
        <v>0</v>
      </c>
      <c r="J19" s="481">
        <f>SUM(J20:J22)</f>
        <v>0</v>
      </c>
      <c r="K19" s="481">
        <f>SUM(K20:K22)</f>
        <v>0</v>
      </c>
      <c r="L19" s="68"/>
    </row>
    <row r="20" spans="1:12">
      <c r="A20" s="107" t="s">
        <v>268</v>
      </c>
      <c r="B20" s="155" t="s">
        <v>456</v>
      </c>
      <c r="C20" s="107" t="s">
        <v>246</v>
      </c>
      <c r="D20" s="478">
        <f>SUM(E20:H20)</f>
        <v>0</v>
      </c>
      <c r="E20" s="479"/>
      <c r="F20" s="479"/>
      <c r="G20" s="479"/>
      <c r="H20" s="479"/>
      <c r="I20" s="478">
        <f>SUM(J20:K20)</f>
        <v>0</v>
      </c>
      <c r="J20" s="479"/>
      <c r="K20" s="479"/>
      <c r="L20" s="68"/>
    </row>
    <row r="21" spans="1:12">
      <c r="A21" s="107" t="s">
        <v>562</v>
      </c>
      <c r="B21" s="155" t="s">
        <v>455</v>
      </c>
      <c r="C21" s="107" t="s">
        <v>246</v>
      </c>
      <c r="D21" s="478">
        <f>SUM(E21:H21)</f>
        <v>0</v>
      </c>
      <c r="E21" s="479"/>
      <c r="F21" s="479"/>
      <c r="G21" s="479"/>
      <c r="H21" s="479"/>
      <c r="I21" s="478">
        <f>SUM(J21:K21)</f>
        <v>0</v>
      </c>
      <c r="J21" s="479"/>
      <c r="K21" s="479"/>
      <c r="L21" s="68"/>
    </row>
    <row r="22" spans="1:12">
      <c r="A22" s="107" t="s">
        <v>610</v>
      </c>
      <c r="B22" s="155" t="s">
        <v>457</v>
      </c>
      <c r="C22" s="107" t="s">
        <v>246</v>
      </c>
      <c r="D22" s="478">
        <f>SUM(E22:H22)</f>
        <v>0</v>
      </c>
      <c r="E22" s="479"/>
      <c r="F22" s="479"/>
      <c r="G22" s="479"/>
      <c r="H22" s="479"/>
      <c r="I22" s="478">
        <f>SUM(J22:K22)</f>
        <v>0</v>
      </c>
      <c r="J22" s="479"/>
      <c r="K22" s="479"/>
      <c r="L22" s="68"/>
    </row>
    <row r="23" spans="1:12">
      <c r="A23" s="107" t="s">
        <v>563</v>
      </c>
      <c r="B23" s="155" t="s">
        <v>453</v>
      </c>
      <c r="C23" s="107" t="s">
        <v>7</v>
      </c>
      <c r="D23" s="157">
        <f t="shared" ref="D23:K23" si="1">IF(D17=0,0,IF((D16/D17)=0,0,SUM(D21:D22)/(D16/D17)))</f>
        <v>0</v>
      </c>
      <c r="E23" s="157">
        <f t="shared" si="1"/>
        <v>0</v>
      </c>
      <c r="F23" s="157">
        <f t="shared" si="1"/>
        <v>0</v>
      </c>
      <c r="G23" s="157">
        <f t="shared" si="1"/>
        <v>0</v>
      </c>
      <c r="H23" s="157">
        <f t="shared" si="1"/>
        <v>0</v>
      </c>
      <c r="I23" s="157">
        <f t="shared" si="1"/>
        <v>0</v>
      </c>
      <c r="J23" s="157">
        <f t="shared" si="1"/>
        <v>0</v>
      </c>
      <c r="K23" s="157">
        <f t="shared" si="1"/>
        <v>0</v>
      </c>
      <c r="L23" s="68"/>
    </row>
    <row r="24" spans="1:12">
      <c r="A24" s="107" t="s">
        <v>564</v>
      </c>
      <c r="B24" s="155" t="s">
        <v>322</v>
      </c>
      <c r="C24" s="107" t="s">
        <v>162</v>
      </c>
      <c r="D24" s="478">
        <f>SUM(E24:H24)</f>
        <v>0</v>
      </c>
      <c r="E24" s="482"/>
      <c r="F24" s="482"/>
      <c r="G24" s="482"/>
      <c r="H24" s="482"/>
      <c r="I24" s="478">
        <f>SUM(J24:K24)</f>
        <v>0</v>
      </c>
      <c r="J24" s="482"/>
      <c r="K24" s="482"/>
      <c r="L24" s="68"/>
    </row>
    <row r="25" spans="1:12">
      <c r="A25" s="107" t="s">
        <v>565</v>
      </c>
      <c r="B25" s="155" t="s">
        <v>323</v>
      </c>
      <c r="C25" s="107" t="s">
        <v>162</v>
      </c>
      <c r="D25" s="478">
        <f>SUM(E25:H25)</f>
        <v>0</v>
      </c>
      <c r="E25" s="482"/>
      <c r="F25" s="482"/>
      <c r="G25" s="482"/>
      <c r="H25" s="482"/>
      <c r="I25" s="478">
        <f>SUM(J25:K25)</f>
        <v>0</v>
      </c>
      <c r="J25" s="482"/>
      <c r="K25" s="482"/>
      <c r="L25" s="68"/>
    </row>
    <row r="26" spans="1:12">
      <c r="A26" s="107" t="s">
        <v>665</v>
      </c>
      <c r="B26" s="155" t="s">
        <v>660</v>
      </c>
      <c r="C26" s="474" t="s">
        <v>164</v>
      </c>
      <c r="D26" s="478">
        <f>SUM(E26:H26)</f>
        <v>0</v>
      </c>
      <c r="E26" s="482"/>
      <c r="F26" s="482"/>
      <c r="G26" s="482"/>
      <c r="H26" s="482"/>
      <c r="I26" s="478"/>
      <c r="J26" s="482"/>
      <c r="K26" s="482"/>
      <c r="L26" s="68"/>
    </row>
    <row r="27" spans="1:12">
      <c r="A27" s="107" t="s">
        <v>566</v>
      </c>
      <c r="B27" s="155" t="s">
        <v>672</v>
      </c>
      <c r="C27" s="474" t="s">
        <v>7</v>
      </c>
      <c r="D27" s="483">
        <f t="shared" ref="D27:K27" si="2">IF(D16=0,0,IF((1-D17)=0,0,IF(D17=0,0,D19/(D16*(1-D17)/D17+D26))))</f>
        <v>0</v>
      </c>
      <c r="E27" s="483">
        <f t="shared" si="2"/>
        <v>0</v>
      </c>
      <c r="F27" s="483">
        <f t="shared" si="2"/>
        <v>0</v>
      </c>
      <c r="G27" s="483">
        <f t="shared" si="2"/>
        <v>0</v>
      </c>
      <c r="H27" s="483">
        <f t="shared" si="2"/>
        <v>0</v>
      </c>
      <c r="I27" s="483">
        <f t="shared" si="2"/>
        <v>0</v>
      </c>
      <c r="J27" s="483">
        <f t="shared" si="2"/>
        <v>0</v>
      </c>
      <c r="K27" s="483">
        <f t="shared" si="2"/>
        <v>0</v>
      </c>
      <c r="L27" s="68"/>
    </row>
    <row r="28" spans="1:12">
      <c r="A28" s="107">
        <v>4</v>
      </c>
      <c r="B28" s="155" t="s">
        <v>667</v>
      </c>
      <c r="C28" s="474"/>
      <c r="D28" s="157"/>
      <c r="E28" s="107" t="s">
        <v>718</v>
      </c>
      <c r="F28" s="107"/>
      <c r="G28" s="107"/>
      <c r="H28" s="107"/>
      <c r="I28" s="826"/>
      <c r="J28" s="829"/>
      <c r="K28" s="829"/>
      <c r="L28" s="68"/>
    </row>
    <row r="29" spans="1:12">
      <c r="A29" s="107" t="s">
        <v>257</v>
      </c>
      <c r="B29" s="155" t="s">
        <v>676</v>
      </c>
      <c r="C29" s="474" t="s">
        <v>247</v>
      </c>
      <c r="D29" s="478">
        <f>SUM(E29:H29)</f>
        <v>0</v>
      </c>
      <c r="E29" s="479"/>
      <c r="F29" s="479"/>
      <c r="G29" s="479"/>
      <c r="H29" s="479"/>
      <c r="I29" s="827"/>
      <c r="J29" s="830"/>
      <c r="K29" s="830"/>
      <c r="L29" s="68"/>
    </row>
    <row r="30" spans="1:12">
      <c r="A30" s="107" t="s">
        <v>258</v>
      </c>
      <c r="B30" s="155" t="s">
        <v>462</v>
      </c>
      <c r="C30" s="474" t="s">
        <v>246</v>
      </c>
      <c r="D30" s="478">
        <f>SUM(E30:H30)</f>
        <v>0</v>
      </c>
      <c r="E30" s="482"/>
      <c r="F30" s="482"/>
      <c r="G30" s="482"/>
      <c r="H30" s="482"/>
      <c r="I30" s="827"/>
      <c r="J30" s="830"/>
      <c r="K30" s="830"/>
      <c r="L30" s="68"/>
    </row>
    <row r="31" spans="1:12">
      <c r="A31" s="107" t="s">
        <v>567</v>
      </c>
      <c r="B31" s="155" t="s">
        <v>463</v>
      </c>
      <c r="C31" s="474" t="s">
        <v>246</v>
      </c>
      <c r="D31" s="478">
        <f>SUM(E31:H31)</f>
        <v>0</v>
      </c>
      <c r="E31" s="482"/>
      <c r="F31" s="482"/>
      <c r="G31" s="482"/>
      <c r="H31" s="482"/>
      <c r="I31" s="827"/>
      <c r="J31" s="830"/>
      <c r="K31" s="830"/>
      <c r="L31" s="68"/>
    </row>
    <row r="32" spans="1:12">
      <c r="A32" s="107" t="s">
        <v>568</v>
      </c>
      <c r="B32" s="484" t="s">
        <v>465</v>
      </c>
      <c r="C32" s="107" t="s">
        <v>162</v>
      </c>
      <c r="D32" s="478">
        <f>SUM(E32:H32)</f>
        <v>0</v>
      </c>
      <c r="E32" s="482"/>
      <c r="F32" s="482"/>
      <c r="G32" s="482"/>
      <c r="H32" s="482"/>
      <c r="I32" s="827"/>
      <c r="J32" s="830"/>
      <c r="K32" s="830"/>
      <c r="L32" s="68"/>
    </row>
    <row r="33" spans="1:12">
      <c r="A33" s="107" t="s">
        <v>569</v>
      </c>
      <c r="B33" s="484" t="s">
        <v>464</v>
      </c>
      <c r="C33" s="107" t="s">
        <v>162</v>
      </c>
      <c r="D33" s="478">
        <f>SUM(E33:H33)</f>
        <v>0</v>
      </c>
      <c r="E33" s="482"/>
      <c r="F33" s="482"/>
      <c r="G33" s="482"/>
      <c r="H33" s="482"/>
      <c r="I33" s="828"/>
      <c r="J33" s="831"/>
      <c r="K33" s="831"/>
      <c r="L33" s="68"/>
    </row>
    <row r="34" spans="1:12" ht="14.25">
      <c r="A34" s="107" t="s">
        <v>570</v>
      </c>
      <c r="B34" s="475" t="s">
        <v>677</v>
      </c>
      <c r="C34" s="107" t="s">
        <v>606</v>
      </c>
      <c r="D34" s="112">
        <f>IF(D29=0,0,IF(D17=0,0,IF(SUM(D16,D29)=0,0,SUM(D16/D17,D26,-D22,-D30,-D31)/SUM(D16,D29)*1000)))</f>
        <v>0</v>
      </c>
      <c r="E34" s="112">
        <f>IF(E29=0,0,IF(E17=0,0,IF(SUM(E16,E29)=0,0,SUM(E16/E17,E26,-E22,-E30,-E31)/SUM(E16,E29)*1000)))</f>
        <v>0</v>
      </c>
      <c r="F34" s="112">
        <f>IF(F29=0,0,IF(F17=0,0,IF(SUM(F16,F29)=0,0,SUM(F16/F17,F26,-F22,-F30,-F31)/SUM(F16,F29)*1000)))</f>
        <v>0</v>
      </c>
      <c r="G34" s="112">
        <f>IF(G29=0,0,IF(G17=0,0,IF(SUM(G16,G29)=0,0,SUM(G16/G17,G26,-G22,-G30,-G31)/SUM(G16,G29)*1000)))</f>
        <v>0</v>
      </c>
      <c r="H34" s="112">
        <f>IF(H29=0,0,IF(H17=0,0,IF(SUM(H16,H29)=0,0,SUM(H16/H17,H26,-H22,-H30,-H31)/SUM(H16,H29)*1000)))</f>
        <v>0</v>
      </c>
      <c r="I34" s="112">
        <f>IF(I17=0,0,IF(I16=0,0,SUM(I16/I17,I26,-I20,-I21,-I22)*860/I16))</f>
        <v>0</v>
      </c>
      <c r="J34" s="112">
        <f>IF(J17=0,0,IF(J16=0,0,SUM(J16/J17,J26,-J20,-J21,-J22)*860/J16))</f>
        <v>0</v>
      </c>
      <c r="K34" s="112">
        <f>IF(K17=0,0,IF(K16=0,0,SUM(K16/K17,K26,-K20,-K21,-K22)*860/K16))</f>
        <v>0</v>
      </c>
      <c r="L34" s="68"/>
    </row>
    <row r="35" spans="1:12">
      <c r="A35" s="144">
        <v>5</v>
      </c>
      <c r="B35" s="155" t="s">
        <v>397</v>
      </c>
      <c r="C35" s="107" t="s">
        <v>7</v>
      </c>
      <c r="D35" s="158">
        <f>IF(D17=0,0,IF(D29=0,0,IF(SUM(D16/D17,D26)=0,0,SUM(D16,D29,D22,D30:D31)/SUM(D16/D17,D26))))</f>
        <v>0</v>
      </c>
      <c r="E35" s="158">
        <f>IF(E17=0,0,IF(E29=0,0,IF(SUM(E16/E17,E26)=0,0,SUM(E16,E29,E22,E30:E31)/SUM(E16/E17,E26))))</f>
        <v>0</v>
      </c>
      <c r="F35" s="158">
        <f>IF(F17=0,0,IF(F29=0,0,IF(SUM(F16/F17,F26)=0,0,SUM(F16,F29,F22,F30:F31)/SUM(F16/F17,F26))))</f>
        <v>0</v>
      </c>
      <c r="G35" s="158">
        <f>IF(G17=0,0,IF(G29=0,0,IF(SUM(G16/G17,G26)=0,0,SUM(G16,G29,G22,G30:G31)/SUM(G16/G17,G26))))</f>
        <v>0</v>
      </c>
      <c r="H35" s="158">
        <f>IF(H17=0,0,IF(H29=0,0,IF(SUM(H16/H17,H26)=0,0,SUM(H16,H29,H22,H30:H31)/SUM(H16/H17,H26))))</f>
        <v>0</v>
      </c>
      <c r="I35" s="159">
        <f>SUM(I17,I23)</f>
        <v>0</v>
      </c>
      <c r="J35" s="158">
        <f>SUM(J17,J23)</f>
        <v>0</v>
      </c>
      <c r="K35" s="158">
        <f>SUM(K17,K23)</f>
        <v>0</v>
      </c>
      <c r="L35" s="68"/>
    </row>
    <row r="36" spans="1:12">
      <c r="A36" s="107">
        <v>6</v>
      </c>
      <c r="B36" s="155" t="s">
        <v>666</v>
      </c>
      <c r="C36" s="474"/>
      <c r="D36" s="478"/>
      <c r="E36" s="485" t="s">
        <v>466</v>
      </c>
      <c r="F36" s="485" t="s">
        <v>467</v>
      </c>
      <c r="G36" s="485" t="s">
        <v>468</v>
      </c>
      <c r="H36" s="485" t="s">
        <v>661</v>
      </c>
      <c r="L36" s="68"/>
    </row>
    <row r="37" spans="1:12">
      <c r="A37" s="107" t="s">
        <v>510</v>
      </c>
      <c r="B37" s="155" t="s">
        <v>458</v>
      </c>
      <c r="C37" s="474" t="s">
        <v>246</v>
      </c>
      <c r="D37" s="478">
        <f>SUM(E37:H37)</f>
        <v>0</v>
      </c>
      <c r="E37" s="482"/>
      <c r="F37" s="482"/>
      <c r="G37" s="482"/>
      <c r="H37" s="482"/>
      <c r="L37" s="68"/>
    </row>
    <row r="38" spans="1:12">
      <c r="A38" s="107" t="s">
        <v>511</v>
      </c>
      <c r="B38" s="155" t="s">
        <v>459</v>
      </c>
      <c r="C38" s="474" t="s">
        <v>162</v>
      </c>
      <c r="D38" s="478">
        <f>SUM(E38:H38)</f>
        <v>0</v>
      </c>
      <c r="E38" s="482"/>
      <c r="F38" s="482"/>
      <c r="G38" s="482"/>
      <c r="H38" s="482"/>
      <c r="L38" s="68"/>
    </row>
    <row r="39" spans="1:12">
      <c r="A39" s="107" t="s">
        <v>669</v>
      </c>
      <c r="B39" s="486" t="s">
        <v>461</v>
      </c>
      <c r="C39" s="474" t="s">
        <v>7</v>
      </c>
      <c r="D39" s="157">
        <f>IF(D37=0,0,SUMPRODUCT(E37:H37,E39:H39)/D37)</f>
        <v>0</v>
      </c>
      <c r="E39" s="67"/>
      <c r="F39" s="67"/>
      <c r="G39" s="67"/>
      <c r="H39" s="67"/>
      <c r="L39" s="68"/>
    </row>
    <row r="40" spans="1:12">
      <c r="A40" s="107">
        <v>7</v>
      </c>
      <c r="B40" s="155" t="s">
        <v>668</v>
      </c>
      <c r="C40" s="474"/>
      <c r="D40" s="157"/>
      <c r="E40" s="107" t="s">
        <v>600</v>
      </c>
      <c r="F40" s="107" t="s">
        <v>601</v>
      </c>
      <c r="G40" s="107" t="s">
        <v>602</v>
      </c>
      <c r="H40" s="107" t="s">
        <v>603</v>
      </c>
      <c r="L40" s="68"/>
    </row>
    <row r="41" spans="1:12">
      <c r="A41" s="107" t="s">
        <v>516</v>
      </c>
      <c r="B41" s="486" t="s">
        <v>460</v>
      </c>
      <c r="C41" s="474" t="s">
        <v>247</v>
      </c>
      <c r="D41" s="478">
        <f>SUM(E41:H41)</f>
        <v>0</v>
      </c>
      <c r="E41" s="479"/>
      <c r="F41" s="479"/>
      <c r="G41" s="479"/>
      <c r="H41" s="479"/>
      <c r="L41" s="68"/>
    </row>
    <row r="42" spans="1:12">
      <c r="A42" s="107" t="s">
        <v>517</v>
      </c>
      <c r="B42" s="155" t="s">
        <v>462</v>
      </c>
      <c r="C42" s="474" t="s">
        <v>246</v>
      </c>
      <c r="D42" s="478">
        <f>SUM(E42:H42)</f>
        <v>0</v>
      </c>
      <c r="E42" s="482"/>
      <c r="F42" s="482"/>
      <c r="G42" s="482"/>
      <c r="H42" s="482"/>
      <c r="L42" s="68"/>
    </row>
    <row r="43" spans="1:12">
      <c r="A43" s="107" t="s">
        <v>518</v>
      </c>
      <c r="B43" s="155" t="s">
        <v>463</v>
      </c>
      <c r="C43" s="474" t="s">
        <v>246</v>
      </c>
      <c r="D43" s="478">
        <f>SUM(E43:H43)</f>
        <v>0</v>
      </c>
      <c r="E43" s="482"/>
      <c r="F43" s="482"/>
      <c r="G43" s="482"/>
      <c r="H43" s="482"/>
      <c r="L43" s="68"/>
    </row>
    <row r="44" spans="1:12">
      <c r="A44" s="107" t="s">
        <v>670</v>
      </c>
      <c r="B44" s="484" t="s">
        <v>465</v>
      </c>
      <c r="C44" s="107" t="s">
        <v>162</v>
      </c>
      <c r="D44" s="478">
        <f>SUM(E44:H44)</f>
        <v>0</v>
      </c>
      <c r="E44" s="482"/>
      <c r="F44" s="482"/>
      <c r="G44" s="482"/>
      <c r="H44" s="482"/>
      <c r="L44" s="68"/>
    </row>
    <row r="45" spans="1:12">
      <c r="A45" s="107" t="s">
        <v>671</v>
      </c>
      <c r="B45" s="484" t="s">
        <v>464</v>
      </c>
      <c r="C45" s="107" t="s">
        <v>162</v>
      </c>
      <c r="D45" s="478">
        <f>SUM(E45:H45)</f>
        <v>0</v>
      </c>
      <c r="E45" s="482"/>
      <c r="F45" s="482"/>
      <c r="G45" s="482"/>
      <c r="H45" s="482"/>
      <c r="L45" s="68"/>
    </row>
    <row r="46" spans="1:12" ht="14.25">
      <c r="A46" s="107" t="s">
        <v>678</v>
      </c>
      <c r="B46" s="475" t="s">
        <v>677</v>
      </c>
      <c r="C46" s="107" t="s">
        <v>606</v>
      </c>
      <c r="D46" s="112">
        <f>IF(D41=0,0,IF($D$17=0,0,IF(D39=0,0,SUM($D$16/$D$17,D26,-$D$22,D37/D39,-D42,-D43)*860/SUM($D$16,D41))))</f>
        <v>0</v>
      </c>
      <c r="E46" s="112">
        <f>IF(E41=0,0,IF($E$17=0,0,IF(COUNT($E$37:$H$37)=0,0,IF(E39=0,0,SUM(($E$16/$E$17-$E$22)/COUNT($E$37:$H$37),E37/E39,-E42,-E43)*860/SUM($E$16,E41)))))</f>
        <v>0</v>
      </c>
      <c r="F46" s="112">
        <f>IF(F41=0,0,IF($E$17=0,0,IF(COUNT($E$37:$H$37)=0,0,IF(F39=0,0,SUM(($E$16/$E$17-$E$22)/COUNT($E$37:$H$37),F37/F39,-F42,-F43)*860/SUM($E$16,F41)))))</f>
        <v>0</v>
      </c>
      <c r="G46" s="112">
        <f>IF(G41=0,0,IF($E$17=0,0,IF(COUNT($E$37:$H$37)=0,0,IF(G39=0,0,SUM(($E$16/$E$17-$E$22)/COUNT($E$37:$H$37),G37/G39,-G42,-G43)*860/SUM($E$16,G41)))))</f>
        <v>0</v>
      </c>
      <c r="H46" s="112">
        <f>IF(H41=0,0,IF($E$17=0,0,IF(COUNT($E$37:$H$37)=0,0,IF(H39=0,0,SUM(($E$16/$E$17-$E$22)/COUNT($E$37:$H$37),H37/H39,-H42,-H43)*860/SUM($E$16,H41)))))</f>
        <v>0</v>
      </c>
      <c r="L46" s="68"/>
    </row>
    <row r="47" spans="1:12">
      <c r="A47" s="107">
        <v>8</v>
      </c>
      <c r="B47" s="155" t="s">
        <v>397</v>
      </c>
      <c r="C47" s="107" t="s">
        <v>7</v>
      </c>
      <c r="D47" s="158">
        <f>IF(D37=0,0,IF(D39=0,0,SUM(D41:D43)/(D37/D39)))</f>
        <v>0</v>
      </c>
      <c r="E47" s="158">
        <f>IF(E37=0,0,IF(E39=0,0,SUM(E41:E43)/(E37/E39)))</f>
        <v>0</v>
      </c>
      <c r="F47" s="158">
        <f>IF(F37=0,0,IF(F39=0,0,SUM(F41:F43)/(F37/F39)))</f>
        <v>0</v>
      </c>
      <c r="G47" s="158">
        <f>IF(G37=0,0,IF(G39=0,0,SUM(G41:G43)/(G37/G39)))</f>
        <v>0</v>
      </c>
      <c r="H47" s="158">
        <f>IF(H37=0,0,IF(H39=0,0,SUM(H41:H43)/(H37/H39)))</f>
        <v>0</v>
      </c>
      <c r="L47" s="68"/>
    </row>
    <row r="48" spans="1:12"/>
    <row r="49" spans="1:12">
      <c r="B49" s="756" t="s">
        <v>607</v>
      </c>
      <c r="C49" s="756"/>
      <c r="D49" s="756"/>
      <c r="E49" s="756"/>
      <c r="F49" s="756"/>
      <c r="G49" s="756"/>
      <c r="H49" s="756"/>
      <c r="I49" s="756"/>
      <c r="J49" s="756"/>
      <c r="K49" s="756"/>
    </row>
    <row r="50" spans="1:12"/>
    <row r="51" spans="1:12">
      <c r="A51" s="153" t="s">
        <v>0</v>
      </c>
      <c r="B51" s="144" t="s">
        <v>471</v>
      </c>
      <c r="C51" s="487"/>
      <c r="D51" s="819" t="s">
        <v>673</v>
      </c>
      <c r="E51" s="819"/>
      <c r="F51" s="819"/>
      <c r="G51" s="819"/>
      <c r="H51" s="819"/>
      <c r="I51" s="819"/>
      <c r="J51" s="819"/>
      <c r="K51" s="819"/>
    </row>
    <row r="52" spans="1:12">
      <c r="A52" s="107">
        <v>3</v>
      </c>
      <c r="B52" s="488" t="s">
        <v>588</v>
      </c>
      <c r="C52" s="107" t="s">
        <v>161</v>
      </c>
      <c r="D52" s="418" t="s">
        <v>152</v>
      </c>
      <c r="E52" s="107" t="s">
        <v>589</v>
      </c>
      <c r="F52" s="107" t="s">
        <v>590</v>
      </c>
      <c r="G52" s="107" t="s">
        <v>591</v>
      </c>
      <c r="H52" s="107" t="s">
        <v>592</v>
      </c>
      <c r="I52" s="107" t="s">
        <v>593</v>
      </c>
      <c r="J52" s="107" t="s">
        <v>594</v>
      </c>
      <c r="K52" s="107" t="s">
        <v>608</v>
      </c>
    </row>
    <row r="53" spans="1:12">
      <c r="A53" s="107" t="s">
        <v>267</v>
      </c>
      <c r="B53" s="475" t="s">
        <v>595</v>
      </c>
      <c r="C53" s="107"/>
      <c r="D53" s="119"/>
      <c r="E53" s="489"/>
      <c r="F53" s="489"/>
      <c r="G53" s="489"/>
      <c r="H53" s="489"/>
      <c r="I53" s="489"/>
      <c r="J53" s="489"/>
      <c r="K53" s="489"/>
    </row>
    <row r="54" spans="1:12">
      <c r="A54" s="107" t="s">
        <v>268</v>
      </c>
      <c r="B54" s="475" t="s">
        <v>596</v>
      </c>
      <c r="C54" s="107" t="s">
        <v>162</v>
      </c>
      <c r="D54" s="352">
        <f>SUM(E54:K54)</f>
        <v>360</v>
      </c>
      <c r="E54" s="9"/>
      <c r="F54" s="9"/>
      <c r="G54" s="9">
        <v>70</v>
      </c>
      <c r="H54" s="9">
        <v>70</v>
      </c>
      <c r="I54" s="9">
        <v>220</v>
      </c>
      <c r="J54" s="9"/>
      <c r="K54" s="9"/>
    </row>
    <row r="55" spans="1:12">
      <c r="A55" s="107" t="s">
        <v>562</v>
      </c>
      <c r="B55" s="475" t="s">
        <v>597</v>
      </c>
      <c r="C55" s="107" t="s">
        <v>46</v>
      </c>
      <c r="D55" s="119"/>
      <c r="E55" s="9"/>
      <c r="F55" s="9"/>
      <c r="G55" s="9">
        <v>3414</v>
      </c>
      <c r="H55" s="9">
        <v>3488</v>
      </c>
      <c r="I55" s="9">
        <v>3574</v>
      </c>
      <c r="J55" s="9"/>
      <c r="K55" s="9"/>
    </row>
    <row r="56" spans="1:12">
      <c r="A56" s="107" t="s">
        <v>610</v>
      </c>
      <c r="B56" s="475" t="s">
        <v>598</v>
      </c>
      <c r="C56" s="107" t="s">
        <v>46</v>
      </c>
      <c r="D56" s="119"/>
      <c r="E56" s="9"/>
      <c r="F56" s="9"/>
      <c r="G56" s="9">
        <v>753</v>
      </c>
      <c r="H56" s="9">
        <v>769</v>
      </c>
      <c r="I56" s="9">
        <v>925</v>
      </c>
      <c r="J56" s="9"/>
      <c r="K56" s="9"/>
    </row>
    <row r="57" spans="1:12">
      <c r="A57" s="107" t="s">
        <v>563</v>
      </c>
      <c r="B57" s="475" t="s">
        <v>163</v>
      </c>
      <c r="C57" s="107" t="s">
        <v>164</v>
      </c>
      <c r="D57" s="352">
        <f>SUM(E57:K57)</f>
        <v>266.49400000000003</v>
      </c>
      <c r="E57" s="418">
        <f t="shared" ref="E57:J57" si="3">ROUND(E54*(E55-E56)/3600,3)</f>
        <v>0</v>
      </c>
      <c r="F57" s="418">
        <f t="shared" si="3"/>
        <v>0</v>
      </c>
      <c r="G57" s="418">
        <f t="shared" si="3"/>
        <v>51.741999999999997</v>
      </c>
      <c r="H57" s="418">
        <f t="shared" si="3"/>
        <v>52.869</v>
      </c>
      <c r="I57" s="418">
        <f t="shared" si="3"/>
        <v>161.88300000000001</v>
      </c>
      <c r="J57" s="418">
        <f t="shared" si="3"/>
        <v>0</v>
      </c>
      <c r="K57" s="418">
        <f>ROUND(K54*(K55-K56)/3600,3)</f>
        <v>0</v>
      </c>
    </row>
    <row r="58" spans="1:12">
      <c r="A58" s="107" t="s">
        <v>564</v>
      </c>
      <c r="B58" s="476" t="s">
        <v>320</v>
      </c>
      <c r="C58" s="107" t="s">
        <v>246</v>
      </c>
      <c r="D58" s="352">
        <f>SUM(E58:K58)</f>
        <v>244</v>
      </c>
      <c r="E58" s="66"/>
      <c r="F58" s="66"/>
      <c r="G58" s="9">
        <v>48</v>
      </c>
      <c r="H58" s="9">
        <v>48</v>
      </c>
      <c r="I58" s="9">
        <v>148</v>
      </c>
      <c r="J58" s="66"/>
      <c r="K58" s="66"/>
    </row>
    <row r="59" spans="1:12">
      <c r="A59" s="107" t="s">
        <v>565</v>
      </c>
      <c r="B59" s="155" t="s">
        <v>387</v>
      </c>
      <c r="C59" s="107" t="s">
        <v>7</v>
      </c>
      <c r="D59" s="157">
        <f>IF(D58=0,0,SUMPRODUCT(E59:K59,E58:K58)/D58)</f>
        <v>0.87393442622950823</v>
      </c>
      <c r="E59" s="67"/>
      <c r="F59" s="67"/>
      <c r="G59" s="67">
        <v>0.92</v>
      </c>
      <c r="H59" s="67">
        <v>0.84</v>
      </c>
      <c r="I59" s="67">
        <v>0.87</v>
      </c>
      <c r="J59" s="67"/>
      <c r="K59" s="67"/>
    </row>
    <row r="60" spans="1:12">
      <c r="A60" s="107">
        <v>4</v>
      </c>
      <c r="B60" s="488" t="s">
        <v>599</v>
      </c>
      <c r="C60" s="107"/>
      <c r="D60" s="119"/>
      <c r="E60" s="107" t="s">
        <v>600</v>
      </c>
      <c r="F60" s="107" t="s">
        <v>601</v>
      </c>
      <c r="G60" s="107" t="s">
        <v>602</v>
      </c>
      <c r="H60" s="107" t="s">
        <v>603</v>
      </c>
      <c r="I60" s="107" t="s">
        <v>604</v>
      </c>
      <c r="J60" s="107" t="s">
        <v>605</v>
      </c>
      <c r="K60" s="107" t="s">
        <v>609</v>
      </c>
    </row>
    <row r="61" spans="1:12">
      <c r="A61" s="107" t="s">
        <v>257</v>
      </c>
      <c r="B61" s="475" t="s">
        <v>595</v>
      </c>
      <c r="C61" s="111"/>
      <c r="D61" s="119"/>
      <c r="E61" s="490"/>
      <c r="F61" s="491"/>
      <c r="G61" s="491" t="s">
        <v>774</v>
      </c>
      <c r="H61" s="491" t="s">
        <v>775</v>
      </c>
      <c r="I61" s="491" t="s">
        <v>776</v>
      </c>
      <c r="J61" s="491"/>
      <c r="K61" s="491"/>
    </row>
    <row r="62" spans="1:12">
      <c r="A62" s="107" t="s">
        <v>258</v>
      </c>
      <c r="B62" s="486" t="s">
        <v>460</v>
      </c>
      <c r="C62" s="474" t="s">
        <v>247</v>
      </c>
      <c r="D62" s="478">
        <f>SUM(E62:G62)</f>
        <v>25</v>
      </c>
      <c r="E62" s="479"/>
      <c r="F62" s="479"/>
      <c r="G62" s="479">
        <v>25</v>
      </c>
      <c r="H62" s="479">
        <v>25</v>
      </c>
      <c r="I62" s="479">
        <v>55</v>
      </c>
      <c r="J62" s="479"/>
      <c r="K62" s="479"/>
      <c r="L62" s="68"/>
    </row>
    <row r="63" spans="1:12">
      <c r="A63" s="107" t="s">
        <v>567</v>
      </c>
      <c r="B63" s="155" t="s">
        <v>462</v>
      </c>
      <c r="C63" s="474" t="s">
        <v>246</v>
      </c>
      <c r="D63" s="478">
        <f>SUM(E63:G63)</f>
        <v>125</v>
      </c>
      <c r="E63" s="482"/>
      <c r="F63" s="482"/>
      <c r="G63" s="482">
        <v>125</v>
      </c>
      <c r="H63" s="482">
        <v>68</v>
      </c>
      <c r="I63" s="482">
        <v>68</v>
      </c>
      <c r="J63" s="482"/>
      <c r="K63" s="482"/>
      <c r="L63" s="68"/>
    </row>
    <row r="64" spans="1:12">
      <c r="A64" s="107" t="s">
        <v>568</v>
      </c>
      <c r="B64" s="155" t="s">
        <v>463</v>
      </c>
      <c r="C64" s="474" t="s">
        <v>246</v>
      </c>
      <c r="D64" s="478">
        <f>SUM(E64:G64)</f>
        <v>94</v>
      </c>
      <c r="E64" s="482"/>
      <c r="F64" s="482"/>
      <c r="G64" s="482">
        <v>94</v>
      </c>
      <c r="H64" s="482">
        <v>45</v>
      </c>
      <c r="I64" s="482">
        <v>102</v>
      </c>
      <c r="J64" s="482"/>
      <c r="K64" s="482"/>
      <c r="L64" s="68"/>
    </row>
    <row r="65" spans="1:12">
      <c r="A65" s="107" t="s">
        <v>569</v>
      </c>
      <c r="B65" s="484" t="s">
        <v>465</v>
      </c>
      <c r="C65" s="107" t="s">
        <v>162</v>
      </c>
      <c r="D65" s="478">
        <f>SUM(E65:G65)</f>
        <v>150</v>
      </c>
      <c r="E65" s="482"/>
      <c r="F65" s="482"/>
      <c r="G65" s="482">
        <v>150</v>
      </c>
      <c r="H65" s="482">
        <v>80</v>
      </c>
      <c r="I65" s="482"/>
      <c r="J65" s="482"/>
      <c r="K65" s="482"/>
      <c r="L65" s="68"/>
    </row>
    <row r="66" spans="1:12">
      <c r="A66" s="107" t="s">
        <v>570</v>
      </c>
      <c r="B66" s="484" t="s">
        <v>464</v>
      </c>
      <c r="C66" s="107" t="s">
        <v>162</v>
      </c>
      <c r="D66" s="478">
        <f>SUM(E66:G66)</f>
        <v>125</v>
      </c>
      <c r="E66" s="482"/>
      <c r="F66" s="482"/>
      <c r="G66" s="482">
        <v>125</v>
      </c>
      <c r="H66" s="482">
        <v>60</v>
      </c>
      <c r="I66" s="482">
        <v>150</v>
      </c>
      <c r="J66" s="482"/>
      <c r="K66" s="482"/>
      <c r="L66" s="68"/>
    </row>
    <row r="67" spans="1:12" ht="14.25">
      <c r="A67" s="107" t="s">
        <v>571</v>
      </c>
      <c r="B67" s="475" t="s">
        <v>677</v>
      </c>
      <c r="C67" s="107" t="s">
        <v>606</v>
      </c>
      <c r="D67" s="119">
        <f>IF(D62=0,0,SUMPRODUCT(E67:K67,E62:K62)/D62)</f>
        <v>11701</v>
      </c>
      <c r="E67" s="9"/>
      <c r="F67" s="9"/>
      <c r="G67" s="9">
        <v>1202</v>
      </c>
      <c r="H67" s="9">
        <v>2854</v>
      </c>
      <c r="I67" s="9">
        <v>3475</v>
      </c>
      <c r="J67" s="9"/>
      <c r="K67" s="9"/>
    </row>
    <row r="68" spans="1:12">
      <c r="A68" s="107">
        <v>5</v>
      </c>
      <c r="B68" s="155" t="s">
        <v>397</v>
      </c>
      <c r="C68" s="107" t="s">
        <v>7</v>
      </c>
      <c r="D68" s="158">
        <f>IF(D59=0,0,IF(D58=0,0,SUM(D62:D64)/(D58/D59)))</f>
        <v>0.87393442622950812</v>
      </c>
      <c r="E68" s="158">
        <f t="shared" ref="E68:K68" si="4">IF(E59=0,0,IF(E58=0,0,SUM(E62:E64)/(E58/E59)))</f>
        <v>0</v>
      </c>
      <c r="F68" s="158">
        <f t="shared" si="4"/>
        <v>0</v>
      </c>
      <c r="G68" s="158">
        <f t="shared" si="4"/>
        <v>4.6766666666666667</v>
      </c>
      <c r="H68" s="158">
        <f t="shared" si="4"/>
        <v>2.415</v>
      </c>
      <c r="I68" s="158">
        <f t="shared" si="4"/>
        <v>1.3226351351351351</v>
      </c>
      <c r="J68" s="158">
        <f t="shared" si="4"/>
        <v>0</v>
      </c>
      <c r="K68" s="158">
        <f t="shared" si="4"/>
        <v>0</v>
      </c>
      <c r="L68" s="68"/>
    </row>
    <row r="69" spans="1:12"/>
    <row r="70" spans="1:12">
      <c r="B70" s="492"/>
      <c r="K70" s="493"/>
    </row>
    <row r="71" spans="1:12">
      <c r="B71" s="492"/>
      <c r="F71" s="494"/>
      <c r="G71" s="495"/>
      <c r="H71" s="496"/>
      <c r="I71" s="497"/>
      <c r="J71" s="498"/>
      <c r="K71" s="497"/>
    </row>
    <row r="72" spans="1:12" customFormat="1">
      <c r="B72" s="492"/>
      <c r="K72" s="504"/>
    </row>
    <row r="73" spans="1:12">
      <c r="B73" s="492"/>
      <c r="F73" s="494"/>
      <c r="G73" s="367"/>
      <c r="J73" s="498"/>
      <c r="K73" s="493"/>
    </row>
    <row r="74" spans="1:12">
      <c r="B74" s="499"/>
      <c r="K74" s="502"/>
    </row>
    <row r="75" spans="1:12">
      <c r="B75" s="499"/>
      <c r="K75" s="502"/>
    </row>
    <row r="76" spans="1:12">
      <c r="B76" s="499"/>
      <c r="K76" s="502"/>
    </row>
    <row r="77" spans="1:12"/>
    <row r="78" spans="1:12">
      <c r="B78" s="133" t="str">
        <f>'[3]Разходи-Произв.'!$A$79</f>
        <v>Гл. счетоводител:</v>
      </c>
      <c r="G78" s="500" t="str">
        <f>'[3]Разходи-Произв.'!$E$79</f>
        <v>Изп. директор:</v>
      </c>
      <c r="I78" s="202"/>
      <c r="J78" s="202"/>
    </row>
    <row r="79" spans="1:12">
      <c r="C79" s="501" t="str">
        <f>Разходи!$B$93</f>
        <v>/ Л. Джамбазка /</v>
      </c>
      <c r="G79" s="202"/>
      <c r="H79" s="202" t="str">
        <f>Разходи!$F$93</f>
        <v>/Ст. Йорданов/</v>
      </c>
      <c r="I79" s="202"/>
      <c r="J79" s="202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4:K4"/>
    <mergeCell ref="B12:K12"/>
    <mergeCell ref="B1:I1"/>
    <mergeCell ref="B2:I2"/>
    <mergeCell ref="B49:K49"/>
    <mergeCell ref="D51:K51"/>
    <mergeCell ref="I14:K14"/>
    <mergeCell ref="D14:H14"/>
    <mergeCell ref="I28:I33"/>
    <mergeCell ref="J28:J33"/>
    <mergeCell ref="K28:K33"/>
  </mergeCells>
  <phoneticPr fontId="29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4"/>
  <sheetViews>
    <sheetView showZeros="0" workbookViewId="0">
      <selection activeCell="A2" sqref="A2"/>
    </sheetView>
  </sheetViews>
  <sheetFormatPr defaultColWidth="0" defaultRowHeight="12.75" customHeight="1" zeroHeight="1"/>
  <cols>
    <col min="1" max="1" width="3.7109375" style="103" customWidth="1"/>
    <col min="2" max="2" width="28.7109375" style="103" customWidth="1"/>
    <col min="3" max="3" width="7.85546875" style="103" customWidth="1"/>
    <col min="4" max="10" width="9.7109375" style="103" customWidth="1"/>
    <col min="11" max="12" width="8.7109375" style="103" customWidth="1"/>
    <col min="13" max="13" width="8.85546875" style="103" customWidth="1"/>
    <col min="14" max="16384" width="8.85546875" style="103" hidden="1"/>
  </cols>
  <sheetData>
    <row r="1" spans="1:12" ht="12.75" customHeight="1">
      <c r="A1" s="102">
        <v>2</v>
      </c>
      <c r="B1" s="837" t="s">
        <v>707</v>
      </c>
      <c r="C1" s="837"/>
      <c r="D1" s="837"/>
      <c r="E1" s="837"/>
      <c r="F1" s="837"/>
      <c r="G1" s="837"/>
      <c r="H1" s="837"/>
      <c r="I1" s="837"/>
      <c r="J1" s="837"/>
      <c r="K1" s="104"/>
      <c r="L1" s="133" t="s">
        <v>708</v>
      </c>
    </row>
    <row r="2" spans="1:12" ht="12.75" customHeight="1">
      <c r="B2" s="837" t="str">
        <f>'ТИП-ПРОИЗ'!B3</f>
        <v>"Топлофикация- Перник" АД</v>
      </c>
      <c r="C2" s="837"/>
      <c r="D2" s="837"/>
      <c r="E2" s="837"/>
      <c r="F2" s="837"/>
      <c r="G2" s="837"/>
      <c r="H2" s="837"/>
      <c r="I2" s="837"/>
      <c r="J2" s="837"/>
      <c r="K2" s="104"/>
      <c r="L2" s="104"/>
    </row>
    <row r="3" spans="1:12" ht="12.75" customHeight="1"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12.75" customHeight="1">
      <c r="B4" s="757" t="s">
        <v>576</v>
      </c>
      <c r="C4" s="757"/>
      <c r="D4" s="757"/>
      <c r="E4" s="757"/>
      <c r="F4" s="757"/>
      <c r="G4" s="757"/>
      <c r="H4" s="757"/>
      <c r="I4" s="757"/>
      <c r="J4" s="757"/>
      <c r="K4" s="104"/>
      <c r="L4" s="104"/>
    </row>
    <row r="5" spans="1:12"/>
    <row r="6" spans="1:12">
      <c r="A6" s="838">
        <f>'ТИП-ПРОИЗ'!$B$5</f>
        <v>7.2016</v>
      </c>
      <c r="B6" s="838"/>
      <c r="C6" s="838"/>
      <c r="D6" s="836" t="s">
        <v>391</v>
      </c>
      <c r="E6" s="836"/>
      <c r="F6" s="836"/>
      <c r="G6" s="836"/>
      <c r="H6" s="836"/>
      <c r="I6" s="836"/>
      <c r="J6" s="836"/>
      <c r="K6" s="836"/>
      <c r="L6" s="836"/>
    </row>
    <row r="7" spans="1:12">
      <c r="A7" s="142">
        <v>1</v>
      </c>
      <c r="B7" s="143" t="s">
        <v>261</v>
      </c>
      <c r="C7" s="144" t="s">
        <v>389</v>
      </c>
      <c r="D7" s="102" t="s">
        <v>152</v>
      </c>
      <c r="E7" s="142" t="s">
        <v>165</v>
      </c>
      <c r="F7" s="142" t="s">
        <v>166</v>
      </c>
      <c r="G7" s="142" t="s">
        <v>167</v>
      </c>
      <c r="H7" s="142" t="s">
        <v>214</v>
      </c>
      <c r="I7" s="142" t="s">
        <v>215</v>
      </c>
      <c r="J7" s="142" t="s">
        <v>216</v>
      </c>
      <c r="K7" s="142" t="s">
        <v>390</v>
      </c>
      <c r="L7" s="142" t="s">
        <v>586</v>
      </c>
    </row>
    <row r="8" spans="1:12">
      <c r="A8" s="145" t="s">
        <v>262</v>
      </c>
      <c r="B8" s="146">
        <f>'ТИП-ПРОИЗ'!E6</f>
        <v>2015.0000000000023</v>
      </c>
      <c r="C8" s="145" t="s">
        <v>388</v>
      </c>
      <c r="D8" s="147">
        <f>SUM(E8:K8)</f>
        <v>0</v>
      </c>
      <c r="E8" s="56"/>
      <c r="F8" s="56"/>
      <c r="G8" s="56"/>
      <c r="H8" s="56"/>
      <c r="I8" s="56"/>
      <c r="J8" s="56"/>
      <c r="K8" s="56"/>
      <c r="L8" s="56"/>
    </row>
    <row r="9" spans="1:12">
      <c r="A9" s="145" t="s">
        <v>263</v>
      </c>
      <c r="B9" s="148" t="s">
        <v>320</v>
      </c>
      <c r="C9" s="145" t="s">
        <v>246</v>
      </c>
      <c r="D9" s="147">
        <f>SUM(E9:K9)</f>
        <v>0</v>
      </c>
      <c r="E9" s="45"/>
      <c r="F9" s="45"/>
      <c r="G9" s="45"/>
      <c r="H9" s="45"/>
      <c r="I9" s="45"/>
      <c r="J9" s="45"/>
      <c r="K9" s="45"/>
      <c r="L9" s="45"/>
    </row>
    <row r="10" spans="1:12">
      <c r="A10" s="145" t="s">
        <v>264</v>
      </c>
      <c r="B10" s="149" t="s">
        <v>387</v>
      </c>
      <c r="C10" s="145" t="s">
        <v>7</v>
      </c>
      <c r="D10" s="150">
        <f>IF(D9=0,0,SUMPRODUCT(E9:K9,E10:K10)/D9)</f>
        <v>0</v>
      </c>
      <c r="E10" s="46"/>
      <c r="F10" s="46"/>
      <c r="G10" s="46"/>
      <c r="H10" s="46"/>
      <c r="I10" s="46"/>
      <c r="J10" s="46"/>
      <c r="K10" s="46"/>
      <c r="L10" s="46"/>
    </row>
    <row r="11" spans="1:12"/>
    <row r="12" spans="1:12">
      <c r="A12" s="835">
        <f>'ТИП-ПРОИЗ'!E6</f>
        <v>2015.0000000000023</v>
      </c>
      <c r="B12" s="835"/>
      <c r="C12" s="835"/>
      <c r="D12" s="836" t="s">
        <v>697</v>
      </c>
      <c r="E12" s="836"/>
      <c r="F12" s="836"/>
      <c r="G12" s="836"/>
      <c r="H12" s="836"/>
      <c r="I12" s="836"/>
      <c r="J12" s="836"/>
      <c r="K12" s="836"/>
      <c r="L12" s="836"/>
    </row>
    <row r="13" spans="1:12">
      <c r="A13" s="142">
        <v>1</v>
      </c>
      <c r="B13" s="143" t="s">
        <v>261</v>
      </c>
      <c r="C13" s="144" t="s">
        <v>389</v>
      </c>
      <c r="D13" s="102" t="s">
        <v>152</v>
      </c>
      <c r="E13" s="142" t="s">
        <v>165</v>
      </c>
      <c r="F13" s="142" t="s">
        <v>166</v>
      </c>
      <c r="G13" s="142" t="s">
        <v>167</v>
      </c>
      <c r="H13" s="142" t="s">
        <v>214</v>
      </c>
      <c r="I13" s="142" t="s">
        <v>215</v>
      </c>
      <c r="J13" s="142" t="s">
        <v>216</v>
      </c>
      <c r="K13" s="142" t="s">
        <v>390</v>
      </c>
      <c r="L13" s="142" t="s">
        <v>586</v>
      </c>
    </row>
    <row r="14" spans="1:12">
      <c r="A14" s="145" t="s">
        <v>262</v>
      </c>
      <c r="B14" s="148" t="s">
        <v>698</v>
      </c>
      <c r="C14" s="145" t="s">
        <v>699</v>
      </c>
      <c r="D14" s="510"/>
      <c r="E14" s="44"/>
      <c r="F14" s="44"/>
      <c r="G14" s="44"/>
      <c r="H14" s="44"/>
      <c r="I14" s="44"/>
      <c r="J14" s="44"/>
      <c r="K14" s="44"/>
      <c r="L14" s="44"/>
    </row>
    <row r="15" spans="1:12">
      <c r="A15" s="145" t="s">
        <v>263</v>
      </c>
      <c r="B15" s="148" t="s">
        <v>700</v>
      </c>
      <c r="C15" s="145" t="s">
        <v>70</v>
      </c>
      <c r="D15" s="147">
        <f>SUM(E15:K15)</f>
        <v>0</v>
      </c>
      <c r="E15" s="45"/>
      <c r="F15" s="45"/>
      <c r="G15" s="45"/>
      <c r="H15" s="45"/>
      <c r="I15" s="45"/>
      <c r="J15" s="45"/>
      <c r="K15" s="45"/>
      <c r="L15" s="45"/>
    </row>
    <row r="16" spans="1:12">
      <c r="A16" s="145" t="s">
        <v>264</v>
      </c>
      <c r="B16" s="149" t="s">
        <v>249</v>
      </c>
      <c r="C16" s="145" t="s">
        <v>7</v>
      </c>
      <c r="D16" s="150">
        <f>IF(D15=0,0,SUMPRODUCT(E15:K15,E16:K16)/D15)</f>
        <v>0</v>
      </c>
      <c r="E16" s="46"/>
      <c r="F16" s="46"/>
      <c r="G16" s="46"/>
      <c r="H16" s="46"/>
      <c r="I16" s="46"/>
      <c r="J16" s="46"/>
      <c r="K16" s="46"/>
      <c r="L16" s="46"/>
    </row>
    <row r="17" spans="1:12"/>
    <row r="18" spans="1:12" ht="12.75" customHeight="1">
      <c r="B18" s="837" t="s">
        <v>577</v>
      </c>
      <c r="C18" s="837"/>
      <c r="D18" s="837"/>
      <c r="E18" s="837"/>
      <c r="F18" s="837"/>
      <c r="G18" s="837"/>
      <c r="H18" s="837"/>
      <c r="I18" s="837"/>
      <c r="J18" s="837"/>
      <c r="K18" s="512"/>
      <c r="L18" s="512"/>
    </row>
    <row r="19" spans="1:12"/>
    <row r="20" spans="1:12">
      <c r="A20" s="838">
        <f>'ТИП-ПРОИЗ'!$B$5</f>
        <v>7.2016</v>
      </c>
      <c r="B20" s="838"/>
      <c r="C20" s="838"/>
      <c r="D20" s="836" t="s">
        <v>572</v>
      </c>
      <c r="E20" s="836"/>
      <c r="F20" s="836"/>
      <c r="G20" s="836"/>
      <c r="H20" s="836"/>
      <c r="I20" s="836"/>
      <c r="J20" s="836"/>
      <c r="K20" s="836"/>
      <c r="L20" s="836"/>
    </row>
    <row r="21" spans="1:12">
      <c r="A21" s="142">
        <v>2</v>
      </c>
      <c r="B21" s="143" t="s">
        <v>585</v>
      </c>
      <c r="C21" s="144" t="s">
        <v>389</v>
      </c>
      <c r="D21" s="102" t="s">
        <v>152</v>
      </c>
      <c r="E21" s="142" t="s">
        <v>578</v>
      </c>
      <c r="F21" s="142" t="s">
        <v>579</v>
      </c>
      <c r="G21" s="142" t="s">
        <v>580</v>
      </c>
      <c r="H21" s="142" t="s">
        <v>581</v>
      </c>
      <c r="I21" s="142" t="s">
        <v>582</v>
      </c>
      <c r="J21" s="142" t="s">
        <v>583</v>
      </c>
      <c r="K21" s="142" t="s">
        <v>584</v>
      </c>
      <c r="L21" s="142" t="s">
        <v>587</v>
      </c>
    </row>
    <row r="22" spans="1:12">
      <c r="A22" s="145" t="s">
        <v>278</v>
      </c>
      <c r="B22" s="146">
        <f>B8</f>
        <v>2015.0000000000023</v>
      </c>
      <c r="C22" s="145" t="s">
        <v>388</v>
      </c>
      <c r="D22" s="147">
        <f>SUM(E22:K22)</f>
        <v>0</v>
      </c>
      <c r="E22" s="56"/>
      <c r="F22" s="56"/>
      <c r="G22" s="56"/>
      <c r="H22" s="56"/>
      <c r="I22" s="56"/>
      <c r="J22" s="56"/>
      <c r="K22" s="56"/>
      <c r="L22" s="56"/>
    </row>
    <row r="23" spans="1:12">
      <c r="A23" s="145" t="s">
        <v>279</v>
      </c>
      <c r="B23" s="151" t="s">
        <v>573</v>
      </c>
      <c r="C23" s="145" t="s">
        <v>162</v>
      </c>
      <c r="D23" s="147">
        <f>SUM(E23:K23)</f>
        <v>0</v>
      </c>
      <c r="E23" s="56"/>
      <c r="F23" s="56"/>
      <c r="G23" s="56"/>
      <c r="H23" s="56"/>
      <c r="I23" s="56"/>
      <c r="J23" s="56"/>
      <c r="K23" s="56"/>
      <c r="L23" s="56"/>
    </row>
    <row r="24" spans="1:12">
      <c r="A24" s="145" t="s">
        <v>282</v>
      </c>
      <c r="B24" s="151" t="s">
        <v>574</v>
      </c>
      <c r="C24" s="145" t="s">
        <v>575</v>
      </c>
      <c r="D24" s="147"/>
      <c r="E24" s="56"/>
      <c r="F24" s="56"/>
      <c r="G24" s="56"/>
      <c r="H24" s="56"/>
      <c r="I24" s="56"/>
      <c r="J24" s="56"/>
      <c r="K24" s="56"/>
      <c r="L24" s="56"/>
    </row>
    <row r="25" spans="1:12">
      <c r="A25" s="145" t="s">
        <v>280</v>
      </c>
      <c r="B25" s="148" t="s">
        <v>320</v>
      </c>
      <c r="C25" s="145" t="s">
        <v>246</v>
      </c>
      <c r="D25" s="147">
        <f>SUM(E25:K25)</f>
        <v>0</v>
      </c>
      <c r="E25" s="45"/>
      <c r="F25" s="45"/>
      <c r="G25" s="45"/>
      <c r="H25" s="45"/>
      <c r="I25" s="45"/>
      <c r="J25" s="45"/>
      <c r="K25" s="45"/>
      <c r="L25" s="45"/>
    </row>
    <row r="26" spans="1:12">
      <c r="A26" s="145" t="s">
        <v>281</v>
      </c>
      <c r="B26" s="149" t="s">
        <v>387</v>
      </c>
      <c r="C26" s="145" t="s">
        <v>7</v>
      </c>
      <c r="D26" s="150">
        <f>IF(D25=0,0,SUMPRODUCT(E25:K25,E26:K26)/D25)</f>
        <v>0</v>
      </c>
      <c r="E26" s="46"/>
      <c r="F26" s="46"/>
      <c r="G26" s="46"/>
      <c r="H26" s="46"/>
      <c r="I26" s="46"/>
      <c r="J26" s="46"/>
      <c r="K26" s="46"/>
      <c r="L26" s="46"/>
    </row>
    <row r="27" spans="1:12"/>
    <row r="28" spans="1:12">
      <c r="A28" s="835">
        <f>A12</f>
        <v>2015.0000000000023</v>
      </c>
      <c r="B28" s="835"/>
      <c r="C28" s="835"/>
      <c r="D28" s="836" t="s">
        <v>701</v>
      </c>
      <c r="E28" s="836"/>
      <c r="F28" s="836"/>
      <c r="G28" s="836"/>
      <c r="H28" s="836"/>
      <c r="I28" s="836"/>
      <c r="J28" s="836"/>
      <c r="K28" s="836"/>
      <c r="L28" s="836"/>
    </row>
    <row r="29" spans="1:12">
      <c r="A29" s="142">
        <v>2</v>
      </c>
      <c r="B29" s="143" t="s">
        <v>585</v>
      </c>
      <c r="C29" s="144" t="s">
        <v>389</v>
      </c>
      <c r="D29" s="102" t="s">
        <v>152</v>
      </c>
      <c r="E29" s="142" t="s">
        <v>578</v>
      </c>
      <c r="F29" s="142" t="s">
        <v>579</v>
      </c>
      <c r="G29" s="142" t="s">
        <v>580</v>
      </c>
      <c r="H29" s="142" t="s">
        <v>581</v>
      </c>
      <c r="I29" s="142" t="s">
        <v>582</v>
      </c>
      <c r="J29" s="142" t="s">
        <v>583</v>
      </c>
      <c r="K29" s="142" t="s">
        <v>584</v>
      </c>
      <c r="L29" s="142" t="s">
        <v>587</v>
      </c>
    </row>
    <row r="30" spans="1:12">
      <c r="A30" s="145" t="s">
        <v>278</v>
      </c>
      <c r="B30" s="148" t="s">
        <v>698</v>
      </c>
      <c r="C30" s="145" t="s">
        <v>699</v>
      </c>
      <c r="D30" s="510"/>
      <c r="E30" s="44"/>
      <c r="F30" s="44"/>
      <c r="G30" s="44"/>
      <c r="H30" s="44"/>
      <c r="I30" s="44"/>
      <c r="J30" s="44"/>
      <c r="K30" s="44"/>
      <c r="L30" s="44"/>
    </row>
    <row r="31" spans="1:12">
      <c r="A31" s="145" t="s">
        <v>279</v>
      </c>
      <c r="B31" s="151" t="s">
        <v>704</v>
      </c>
      <c r="C31" s="145" t="s">
        <v>23</v>
      </c>
      <c r="D31" s="147">
        <f>SUM(E31:K31)</f>
        <v>0</v>
      </c>
      <c r="E31" s="44"/>
      <c r="F31" s="44"/>
      <c r="G31" s="44"/>
      <c r="H31" s="44"/>
      <c r="I31" s="44"/>
      <c r="J31" s="44"/>
      <c r="K31" s="44"/>
      <c r="L31" s="44"/>
    </row>
    <row r="32" spans="1:12">
      <c r="A32" s="145" t="s">
        <v>282</v>
      </c>
      <c r="B32" s="151" t="s">
        <v>705</v>
      </c>
      <c r="C32" s="145" t="s">
        <v>162</v>
      </c>
      <c r="D32" s="147">
        <f>IF(D30=0,0,D31/D30)</f>
        <v>0</v>
      </c>
      <c r="E32" s="147">
        <f t="shared" ref="E32:L32" si="0">IF(E30=0,0,E31/E30)</f>
        <v>0</v>
      </c>
      <c r="F32" s="147">
        <f t="shared" si="0"/>
        <v>0</v>
      </c>
      <c r="G32" s="147">
        <f t="shared" si="0"/>
        <v>0</v>
      </c>
      <c r="H32" s="147">
        <f t="shared" si="0"/>
        <v>0</v>
      </c>
      <c r="I32" s="147">
        <f t="shared" si="0"/>
        <v>0</v>
      </c>
      <c r="J32" s="147">
        <f t="shared" si="0"/>
        <v>0</v>
      </c>
      <c r="K32" s="147">
        <f t="shared" si="0"/>
        <v>0</v>
      </c>
      <c r="L32" s="147">
        <f t="shared" si="0"/>
        <v>0</v>
      </c>
    </row>
    <row r="33" spans="1:12">
      <c r="A33" s="145" t="s">
        <v>280</v>
      </c>
      <c r="B33" s="151" t="s">
        <v>703</v>
      </c>
      <c r="C33" s="145" t="s">
        <v>575</v>
      </c>
      <c r="D33" s="147"/>
      <c r="E33" s="56"/>
      <c r="F33" s="56"/>
      <c r="G33" s="56"/>
      <c r="H33" s="56"/>
      <c r="I33" s="56"/>
      <c r="J33" s="56"/>
      <c r="K33" s="56"/>
      <c r="L33" s="56"/>
    </row>
    <row r="34" spans="1:12">
      <c r="A34" s="145" t="s">
        <v>281</v>
      </c>
      <c r="B34" s="148" t="s">
        <v>700</v>
      </c>
      <c r="C34" s="145" t="s">
        <v>70</v>
      </c>
      <c r="D34" s="147">
        <f>SUM(E34:K34)</f>
        <v>0</v>
      </c>
      <c r="E34" s="45"/>
      <c r="F34" s="45"/>
      <c r="G34" s="45"/>
      <c r="H34" s="45"/>
      <c r="I34" s="45"/>
      <c r="J34" s="45"/>
      <c r="K34" s="45"/>
      <c r="L34" s="45"/>
    </row>
    <row r="35" spans="1:12">
      <c r="A35" s="145" t="s">
        <v>702</v>
      </c>
      <c r="B35" s="149" t="s">
        <v>249</v>
      </c>
      <c r="C35" s="145" t="s">
        <v>7</v>
      </c>
      <c r="D35" s="150">
        <f>IF(D34=0,0,SUMPRODUCT(E34:K34,E35:K35)/D34)</f>
        <v>0</v>
      </c>
      <c r="E35" s="46"/>
      <c r="F35" s="46"/>
      <c r="G35" s="46"/>
      <c r="H35" s="46"/>
      <c r="I35" s="46"/>
      <c r="J35" s="46"/>
      <c r="K35" s="46"/>
      <c r="L35" s="46"/>
    </row>
    <row r="36" spans="1:12"/>
    <row r="37" spans="1:12" ht="15.75">
      <c r="B37" s="149" t="s">
        <v>706</v>
      </c>
      <c r="C37" s="145" t="s">
        <v>7</v>
      </c>
      <c r="D37" s="150">
        <f>IF(SUM(D15,D34)=0,0,SUM(D15*D16,D34*D35)/SUM(D15,D34))</f>
        <v>0</v>
      </c>
      <c r="E37" s="511">
        <f>SUM(D37,-F37)</f>
        <v>0</v>
      </c>
      <c r="F37" s="503">
        <f>'ТИП-ПРОИЗ'!E57</f>
        <v>0</v>
      </c>
    </row>
    <row r="38" spans="1:12"/>
    <row r="39" spans="1:12"/>
    <row r="40" spans="1:12">
      <c r="B40" s="133" t="str">
        <f>'[3]Разходи-Произв.'!$A$79</f>
        <v>Гл. счетоводител:</v>
      </c>
      <c r="G40" s="134" t="str">
        <f>'[3]Разходи-Произв.'!$E$79</f>
        <v>Изп. директор:</v>
      </c>
      <c r="I40" s="135"/>
      <c r="J40" s="135"/>
    </row>
    <row r="41" spans="1:12">
      <c r="A41" s="132"/>
      <c r="C41" s="136" t="str">
        <f>Разходи!$B$93</f>
        <v>/ Л. Джамбазка /</v>
      </c>
      <c r="G41" s="135"/>
      <c r="H41" s="137" t="str">
        <f>Разходи!$F$93</f>
        <v>/Ст. Йорданов/</v>
      </c>
      <c r="I41" s="137"/>
      <c r="J41" s="137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maria</cp:lastModifiedBy>
  <cp:lastPrinted>2016-03-30T09:29:40Z</cp:lastPrinted>
  <dcterms:created xsi:type="dcterms:W3CDTF">2002-07-02T13:08:08Z</dcterms:created>
  <dcterms:modified xsi:type="dcterms:W3CDTF">2016-03-31T07:55:45Z</dcterms:modified>
</cp:coreProperties>
</file>